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6" activeTab="0"/>
  </bookViews>
  <sheets>
    <sheet name="Ottimizzazione" sheetId="1" r:id="rId1"/>
    <sheet name="DeltaKm" sheetId="2" r:id="rId2"/>
    <sheet name="Chiamata" sheetId="3" r:id="rId3"/>
    <sheet name="Treni" sheetId="4" r:id="rId4"/>
    <sheet name="DirettriciEsterne" sheetId="5" r:id="rId5"/>
  </sheets>
  <definedNames>
    <definedName name="_xlnm.Print_Area" localSheetId="3">'Treni'!$A$1:$C$63</definedName>
  </definedNames>
  <calcPr fullCalcOnLoad="1"/>
</workbook>
</file>

<file path=xl/sharedStrings.xml><?xml version="1.0" encoding="utf-8"?>
<sst xmlns="http://schemas.openxmlformats.org/spreadsheetml/2006/main" count="1069" uniqueCount="256">
  <si>
    <t>Linea 1</t>
  </si>
  <si>
    <t>Direzione Villanova FS</t>
  </si>
  <si>
    <t>ritorno da chieri (sopprimo perchè sovrap alba)</t>
  </si>
  <si>
    <t>Sost con BF ?</t>
  </si>
  <si>
    <t>difficile da togliere perchè è un ritorno</t>
  </si>
  <si>
    <t xml:space="preserve">Ex 154
</t>
  </si>
  <si>
    <t>Uno dei due può sparire</t>
  </si>
  <si>
    <t>1Rid</t>
  </si>
  <si>
    <t>FER6A</t>
  </si>
  <si>
    <t>FER6</t>
  </si>
  <si>
    <t>FER6 A</t>
  </si>
  <si>
    <t>SCOL</t>
  </si>
  <si>
    <t>FER6I</t>
  </si>
  <si>
    <t>FER5A</t>
  </si>
  <si>
    <t>SCOL -5</t>
  </si>
  <si>
    <t>FER5</t>
  </si>
  <si>
    <t>Provenienza</t>
  </si>
  <si>
    <t>ALBA</t>
  </si>
  <si>
    <t>ASTI</t>
  </si>
  <si>
    <t>Castelnuovo DB</t>
  </si>
  <si>
    <t>ASTI/Salera</t>
  </si>
  <si>
    <t>chieri</t>
  </si>
  <si>
    <t>VILLAFRANCA</t>
  </si>
  <si>
    <t>Cantarana</t>
  </si>
  <si>
    <t>add</t>
  </si>
  <si>
    <t>FERRERE</t>
  </si>
  <si>
    <t>VALFENERA BIVIO</t>
  </si>
  <si>
    <t>VALFENERA PAESE</t>
  </si>
  <si>
    <t>-</t>
  </si>
  <si>
    <t>Villata</t>
  </si>
  <si>
    <t>SAN MICHELE</t>
  </si>
  <si>
    <t>DUSINO STAB PROFILNASTRO</t>
  </si>
  <si>
    <t>DUSINO</t>
  </si>
  <si>
    <t>DUSINO SEMAFORO</t>
  </si>
  <si>
    <t>VILLANOVA PAESE</t>
  </si>
  <si>
    <t>VILLANOVA STAZIONE FF. SS.</t>
  </si>
  <si>
    <t>Treni per To (U)</t>
  </si>
  <si>
    <t>6:42</t>
  </si>
  <si>
    <t>manca</t>
  </si>
  <si>
    <t>Treni per AT (U)</t>
  </si>
  <si>
    <t>6:32</t>
  </si>
  <si>
    <t>Rottura di carico</t>
  </si>
  <si>
    <t>NO</t>
  </si>
  <si>
    <t>si  villanov paese</t>
  </si>
  <si>
    <t>Coincidenza BUS con Linea</t>
  </si>
  <si>
    <t>Poirino (5.10)</t>
  </si>
  <si>
    <t>Chieri x 2</t>
  </si>
  <si>
    <t>Poirino (7.43)</t>
  </si>
  <si>
    <t>Chieri</t>
  </si>
  <si>
    <t>Poirino (13.10)</t>
  </si>
  <si>
    <t>Poirino (13.45)</t>
  </si>
  <si>
    <t>Poirino (18.45)</t>
  </si>
  <si>
    <t>Poirino (21.05)</t>
  </si>
  <si>
    <t>Santena</t>
  </si>
  <si>
    <t>Santena (13.20)</t>
  </si>
  <si>
    <t>Mirafiori</t>
  </si>
  <si>
    <t>Torino Esp</t>
  </si>
  <si>
    <t>Mirafiori (13.45)</t>
  </si>
  <si>
    <t>Rivalta</t>
  </si>
  <si>
    <t>Rivalta (13.45)</t>
  </si>
  <si>
    <t>Km Totali</t>
  </si>
  <si>
    <t>Delta KM</t>
  </si>
  <si>
    <t>Note Operazione</t>
  </si>
  <si>
    <t>Valutare numero utenti, interscambio perfetto con treno+95</t>
  </si>
  <si>
    <t>Sovrapp Alba</t>
  </si>
  <si>
    <t>Sovrapp Treno</t>
  </si>
  <si>
    <t>Valutare il numero di utenti (in effetti serve un momento scoperto)</t>
  </si>
  <si>
    <t>Direzione Ferrere</t>
  </si>
  <si>
    <t>Treni da AT</t>
  </si>
  <si>
    <t>Treni da TO</t>
  </si>
  <si>
    <t>FER6 I</t>
  </si>
  <si>
    <t>FER5 A</t>
  </si>
  <si>
    <t>Torino Esp 
Poirino</t>
  </si>
  <si>
    <t>da chieri</t>
  </si>
  <si>
    <t>Torino Esp 
Poirino
+ CHIERI</t>
  </si>
  <si>
    <t>Chieri ?</t>
  </si>
  <si>
    <t xml:space="preserve">
Poirino
Mirafiori</t>
  </si>
  <si>
    <t>VILLANONVA FS</t>
  </si>
  <si>
    <t>ADD</t>
  </si>
  <si>
    <t>DUSINO PROFILNASTRO</t>
  </si>
  <si>
    <t>---</t>
  </si>
  <si>
    <t>Coincidenza con BUS Linea</t>
  </si>
  <si>
    <t>S.Damiano</t>
  </si>
  <si>
    <t>Trasf in BC o BV</t>
  </si>
  <si>
    <t>Il ritorno non serve!</t>
  </si>
  <si>
    <t>Ex Linea</t>
  </si>
  <si>
    <t>sovrapposta ma scol</t>
  </si>
  <si>
    <t>add vn fs
Non posso togliere la tratta da To perchè manca un treno!</t>
  </si>
  <si>
    <t>add cantarana</t>
  </si>
  <si>
    <t>verificare se ha senso</t>
  </si>
  <si>
    <t>95+treno</t>
  </si>
  <si>
    <t>Linea 1x</t>
  </si>
  <si>
    <t>Sopralluogo</t>
  </si>
  <si>
    <t>In fermata</t>
  </si>
  <si>
    <t>Note</t>
  </si>
  <si>
    <t>RFT +
DIERRE</t>
  </si>
  <si>
    <t>DIERRE</t>
  </si>
  <si>
    <t>RFT + DIERRE</t>
  </si>
  <si>
    <t>Se non è piena la posso sostituire con la 1X
( Salera + Dierre)</t>
  </si>
  <si>
    <t>Salera + Dierre
(Anticipa 5 min)</t>
  </si>
  <si>
    <t>RFT</t>
  </si>
  <si>
    <t>DIERRE
(Anticipa 5 min)</t>
  </si>
  <si>
    <t>Sposta</t>
  </si>
  <si>
    <t>45R</t>
  </si>
  <si>
    <t>PRIOCCA/ASTI</t>
  </si>
  <si>
    <t xml:space="preserve">Treni da To </t>
  </si>
  <si>
    <t xml:space="preserve">Treni da AT </t>
  </si>
  <si>
    <t xml:space="preserve">Treni per To </t>
  </si>
  <si>
    <t xml:space="preserve">Treni per AT </t>
  </si>
  <si>
    <t>POIRINO</t>
  </si>
  <si>
    <t>santena</t>
  </si>
  <si>
    <t>rivalta</t>
  </si>
  <si>
    <t>Ultima tratta su 2</t>
  </si>
  <si>
    <t>Lascio solo la linea 2</t>
  </si>
  <si>
    <t>Anche se sovrapposto devo lasciarlo per garantire l'uscita</t>
  </si>
  <si>
    <t>Attesto alla stazione e poi incrocio la 2</t>
  </si>
  <si>
    <t>Direzione Villafranca</t>
  </si>
  <si>
    <t>nonsense</t>
  </si>
  <si>
    <t>Linea 2</t>
  </si>
  <si>
    <t>Torino PN
(sost FS)</t>
  </si>
  <si>
    <t>Torino M
Santena
Poirino</t>
  </si>
  <si>
    <t>Poirino
Santena
Rivalta</t>
  </si>
  <si>
    <t>Prosegue Per</t>
  </si>
  <si>
    <t>va ritardata di 5 min tutta la corsa dopo villanova fs</t>
  </si>
  <si>
    <t>Direzione Villanova FS (percorso flessibile a chiamata)</t>
  </si>
  <si>
    <t>VILLANOVA STAB RFT</t>
  </si>
  <si>
    <t>VILLANOVA STAB.TRE.DI.</t>
  </si>
  <si>
    <t>VILLANOVA STAB DIERRE PIRAMIDE</t>
  </si>
  <si>
    <t>VILLANOVA STAB DIERRE</t>
  </si>
  <si>
    <t>Treni per AT</t>
  </si>
  <si>
    <t>Treni per TO</t>
  </si>
  <si>
    <t>Interscambio con</t>
  </si>
  <si>
    <t>Direzione Stabilimenti (percorso flessibile a chiamata)</t>
  </si>
  <si>
    <t>BUS ASTI</t>
  </si>
  <si>
    <t>KM Tot</t>
  </si>
  <si>
    <t>Delta</t>
  </si>
  <si>
    <t>Dir Asti</t>
  </si>
  <si>
    <t>Dir Villanova/Torino</t>
  </si>
  <si>
    <t>1x</t>
  </si>
  <si>
    <t>Dir Villanova</t>
  </si>
  <si>
    <t>And</t>
  </si>
  <si>
    <t>Rit</t>
  </si>
  <si>
    <t>TOTALE</t>
  </si>
  <si>
    <t>Bacino BV</t>
  </si>
  <si>
    <t>Chiamata nell'area Villanova/San Paolo/Savi/Crivelle</t>
  </si>
  <si>
    <t>fatto</t>
  </si>
  <si>
    <t>Ritorno</t>
  </si>
  <si>
    <t>ExLinea</t>
  </si>
  <si>
    <t>56 e 154</t>
  </si>
  <si>
    <t>45 (CDB)</t>
  </si>
  <si>
    <t>46 (Chieri)</t>
  </si>
  <si>
    <t>FER6-A</t>
  </si>
  <si>
    <t>Villanova FS</t>
  </si>
  <si>
    <t>Bianchi</t>
  </si>
  <si>
    <t>..</t>
  </si>
  <si>
    <t>Gianassi</t>
  </si>
  <si>
    <t>Terrazze</t>
  </si>
  <si>
    <t>Brassicarda</t>
  </si>
  <si>
    <t>Savi</t>
  </si>
  <si>
    <t>Crivelle</t>
  </si>
  <si>
    <t>San Paolo</t>
  </si>
  <si>
    <t>Villanova Paese</t>
  </si>
  <si>
    <t>Valfenera</t>
  </si>
  <si>
    <t>----</t>
  </si>
  <si>
    <t>Cellarengo</t>
  </si>
  <si>
    <t>San Michele</t>
  </si>
  <si>
    <t>Dusino</t>
  </si>
  <si>
    <t>Km Impiegati</t>
  </si>
  <si>
    <t>Tempo Impiegato</t>
  </si>
  <si>
    <t>Contributo (1,1)</t>
  </si>
  <si>
    <t>Costo/H</t>
  </si>
  <si>
    <t>GG Servizio</t>
  </si>
  <si>
    <t>Costo Annuo</t>
  </si>
  <si>
    <t>KM Annui</t>
  </si>
  <si>
    <t>Budget per linea Chiamata BV</t>
  </si>
  <si>
    <t>Totale Costo Annuo</t>
  </si>
  <si>
    <t>Costo/H medio</t>
  </si>
  <si>
    <t>Numero Ore disponibili</t>
  </si>
  <si>
    <t>Ore/g (FER6)</t>
  </si>
  <si>
    <t>KM Totali Disponibili</t>
  </si>
  <si>
    <t>KM/g (FER 6)</t>
  </si>
  <si>
    <t>Appuntamento VN FS</t>
  </si>
  <si>
    <t>Treno verso le 13.15</t>
  </si>
  <si>
    <t>Treno verso le 17.16</t>
  </si>
  <si>
    <t>Appuntamento VN Paese</t>
  </si>
  <si>
    <t>Appuntamento Valfenera</t>
  </si>
  <si>
    <t>Appuntamento Villafranca</t>
  </si>
  <si>
    <t>Bacino BC</t>
  </si>
  <si>
    <t>Chiamata nell'area Valfenera/Villata/Cellarengo/Ferrere</t>
  </si>
  <si>
    <t>ritorno</t>
  </si>
  <si>
    <t>45 ( dir Asti)</t>
  </si>
  <si>
    <t>45 ( dir VNAT)</t>
  </si>
  <si>
    <t>Ferrere</t>
  </si>
  <si>
    <t>VNAT&gt; AT</t>
  </si>
  <si>
    <t>VNAT &gt; TO</t>
  </si>
  <si>
    <t>Linea Villafranca Asti</t>
  </si>
  <si>
    <t>fer6a</t>
  </si>
  <si>
    <t>fer6i</t>
  </si>
  <si>
    <t>scol</t>
  </si>
  <si>
    <t>fer6</t>
  </si>
  <si>
    <t>fer5a</t>
  </si>
  <si>
    <t>torino pn
Torino c. marconi 
Santena 
Poirino</t>
  </si>
  <si>
    <t>torino c. marconi 
Santena 
Poirino</t>
  </si>
  <si>
    <t>x</t>
  </si>
  <si>
    <t>Linea 1X</t>
  </si>
  <si>
    <t>Villafranca</t>
  </si>
  <si>
    <t>Asti FS</t>
  </si>
  <si>
    <t>salera</t>
  </si>
  <si>
    <t>Salera (7.51)</t>
  </si>
  <si>
    <t xml:space="preserve">Linea Asti Villafranca </t>
  </si>
  <si>
    <t>AT I maggio</t>
  </si>
  <si>
    <t>uguale precedente</t>
  </si>
  <si>
    <t>uguale a quell dopo</t>
  </si>
  <si>
    <t>villafranca</t>
  </si>
  <si>
    <t>Linea Villanova Alba</t>
  </si>
  <si>
    <t>Mirafiori 
Santena 
Poirino</t>
  </si>
  <si>
    <t>Alba</t>
  </si>
  <si>
    <t>Linea Alba Villanova</t>
  </si>
  <si>
    <t>Poirino
Santena
Mirafiori</t>
  </si>
  <si>
    <t>Poirino
Santena
Marconi</t>
  </si>
  <si>
    <t>Linea Villanova Chieri</t>
  </si>
  <si>
    <t>Scol-5</t>
  </si>
  <si>
    <t>Linea 1, BV</t>
  </si>
  <si>
    <t>BV</t>
  </si>
  <si>
    <t>sposto su 1 rid</t>
  </si>
  <si>
    <t>Linea  Chieri Villanova</t>
  </si>
  <si>
    <t>Linea Villanova Castelnuovo</t>
  </si>
  <si>
    <t>Castelnuovo</t>
  </si>
  <si>
    <t>Linea Castelnuovo Villanova</t>
  </si>
  <si>
    <t>Linea Villanova Torino</t>
  </si>
  <si>
    <t>Treno 4.56</t>
  </si>
  <si>
    <t>Treno 7.38</t>
  </si>
  <si>
    <t>Treno 8.44 
E 8.59</t>
  </si>
  <si>
    <t>Treno 12.58</t>
  </si>
  <si>
    <t>Treno 14.00
 O 14.12</t>
  </si>
  <si>
    <t>Treno 19.05</t>
  </si>
  <si>
    <t>Treno 20.58 
O 21.12</t>
  </si>
  <si>
    <t xml:space="preserve">Alba </t>
  </si>
  <si>
    <t xml:space="preserve"> Priocca/Asti</t>
  </si>
  <si>
    <t>Asti</t>
  </si>
  <si>
    <t>Poirino</t>
  </si>
  <si>
    <t>To-Mirafiori</t>
  </si>
  <si>
    <t>To-Marconi</t>
  </si>
  <si>
    <t>To-P.N.</t>
  </si>
  <si>
    <t xml:space="preserve">km risparmiati: </t>
  </si>
  <si>
    <t>num gg</t>
  </si>
  <si>
    <t>totale</t>
  </si>
  <si>
    <t>Linea Torino Villanova</t>
  </si>
  <si>
    <t>sovrapposto al treno 11.32</t>
  </si>
  <si>
    <t>treno lingotto 
14.35</t>
  </si>
  <si>
    <t>treno pn 18.20
E 18.32 che ferma 
Anche a cambiano</t>
  </si>
  <si>
    <t>treno lingotto 
22.33</t>
  </si>
  <si>
    <t>Fer5a – FS</t>
  </si>
  <si>
    <t>Linea 1, Alba</t>
  </si>
  <si>
    <t>Linea 1x, Asti</t>
  </si>
  <si>
    <t>Linea 1x, Asti/Priocca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</si>
</sst>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"/>
    <numFmt numFmtId="166" formatCode="HH:MM:SS"/>
    <numFmt numFmtId="167" formatCode="0.00%"/>
    <numFmt numFmtId="168" formatCode="[$€-410]\ #,##0.00;[RED]\-[$€-410]\ #,##0.00"/>
    <numFmt numFmtId="169" formatCode="HH:MM"/>
  </numFmts>
  <fonts count="30">
    <font>
      <sz val="7"/>
      <name val="Verdana"/>
      <family val="2"/>
    </font>
    <font>
      <sz val="10"/>
      <name val="Arial"/>
      <family val="0"/>
    </font>
    <font>
      <strike/>
      <sz val="7"/>
      <color indexed="22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7"/>
      <color indexed="8"/>
      <name val="Verdana"/>
      <family val="2"/>
    </font>
    <font>
      <b/>
      <sz val="7"/>
      <color indexed="17"/>
      <name val="Verdana"/>
      <family val="2"/>
    </font>
    <font>
      <b/>
      <sz val="7"/>
      <color indexed="10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color indexed="17"/>
      <name val="Verdana"/>
      <family val="2"/>
    </font>
    <font>
      <strike/>
      <sz val="7"/>
      <color indexed="8"/>
      <name val="Verdana"/>
      <family val="2"/>
    </font>
    <font>
      <strike/>
      <sz val="7"/>
      <name val="Verdana"/>
      <family val="2"/>
    </font>
    <font>
      <sz val="7"/>
      <color indexed="57"/>
      <name val="Verdana"/>
      <family val="2"/>
    </font>
    <font>
      <sz val="7"/>
      <color indexed="21"/>
      <name val="Verdana"/>
      <family val="2"/>
    </font>
    <font>
      <b/>
      <sz val="7"/>
      <color indexed="21"/>
      <name val="Verdana"/>
      <family val="2"/>
    </font>
    <font>
      <sz val="7"/>
      <color indexed="18"/>
      <name val="Verdana"/>
      <family val="2"/>
    </font>
    <font>
      <sz val="7"/>
      <color indexed="63"/>
      <name val="Verdana"/>
      <family val="2"/>
    </font>
    <font>
      <i/>
      <sz val="7"/>
      <color indexed="18"/>
      <name val="Verdana"/>
      <family val="2"/>
    </font>
    <font>
      <strike/>
      <sz val="7"/>
      <color indexed="11"/>
      <name val="Verdana"/>
      <family val="2"/>
    </font>
    <font>
      <b/>
      <sz val="7"/>
      <color indexed="8"/>
      <name val="Verdana"/>
      <family val="2"/>
    </font>
    <font>
      <i/>
      <sz val="7"/>
      <name val="Verdana"/>
      <family val="2"/>
    </font>
    <font>
      <sz val="7"/>
      <color indexed="22"/>
      <name val="Verdana"/>
      <family val="2"/>
    </font>
    <font>
      <sz val="7"/>
      <color indexed="52"/>
      <name val="Verdana"/>
      <family val="2"/>
    </font>
    <font>
      <b/>
      <sz val="7"/>
      <color indexed="52"/>
      <name val="Verdana"/>
      <family val="2"/>
    </font>
    <font>
      <sz val="7"/>
      <color indexed="23"/>
      <name val="Verdana"/>
      <family val="2"/>
    </font>
    <font>
      <sz val="7"/>
      <color indexed="2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7"/>
      <color indexed="9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Protection="0">
      <alignment horizontal="center" vertical="center" wrapText="1"/>
    </xf>
  </cellStyleXfs>
  <cellXfs count="87">
    <xf numFmtId="164" fontId="0" fillId="0" borderId="0" xfId="0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wrapText="1"/>
    </xf>
    <xf numFmtId="165" fontId="2" fillId="0" borderId="0" xfId="20" applyFont="1" applyFill="1" applyBorder="1" applyProtection="1">
      <alignment horizontal="center" vertical="center" wrapText="1"/>
      <protection/>
    </xf>
    <xf numFmtId="165" fontId="5" fillId="0" borderId="0" xfId="0" applyNumberFormat="1" applyFont="1" applyAlignment="1">
      <alignment horizontal="center" vertical="center" wrapText="1"/>
    </xf>
    <xf numFmtId="164" fontId="6" fillId="0" borderId="0" xfId="0" applyFont="1" applyAlignment="1">
      <alignment horizontal="center"/>
    </xf>
    <xf numFmtId="165" fontId="2" fillId="0" borderId="0" xfId="20" applyFill="1" applyBorder="1" applyProtection="1">
      <alignment horizontal="center" vertical="center" wrapText="1"/>
      <protection/>
    </xf>
    <xf numFmtId="164" fontId="5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4" fontId="8" fillId="3" borderId="0" xfId="0" applyFont="1" applyFill="1" applyAlignment="1">
      <alignment horizontal="center" vertical="center" wrapText="1"/>
    </xf>
    <xf numFmtId="165" fontId="2" fillId="3" borderId="0" xfId="20" applyFont="1" applyFill="1" applyBorder="1" applyProtection="1">
      <alignment horizontal="center" vertical="center" wrapText="1"/>
      <protection/>
    </xf>
    <xf numFmtId="164" fontId="8" fillId="4" borderId="0" xfId="0" applyFont="1" applyFill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 vertical="center" wrapText="1"/>
    </xf>
    <xf numFmtId="164" fontId="9" fillId="0" borderId="0" xfId="0" applyFont="1" applyAlignment="1">
      <alignment/>
    </xf>
    <xf numFmtId="164" fontId="0" fillId="0" borderId="0" xfId="0" applyFont="1" applyFill="1" applyAlignment="1">
      <alignment/>
    </xf>
    <xf numFmtId="165" fontId="10" fillId="0" borderId="0" xfId="0" applyNumberFormat="1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0" fillId="0" borderId="0" xfId="0" applyFont="1" applyAlignment="1">
      <alignment/>
    </xf>
    <xf numFmtId="165" fontId="11" fillId="0" borderId="0" xfId="0" applyNumberFormat="1" applyFont="1" applyAlignment="1">
      <alignment horizontal="center" vertical="center" wrapText="1"/>
    </xf>
    <xf numFmtId="164" fontId="12" fillId="0" borderId="0" xfId="0" applyFont="1" applyAlignment="1">
      <alignment/>
    </xf>
    <xf numFmtId="164" fontId="5" fillId="5" borderId="0" xfId="0" applyFont="1" applyFill="1" applyAlignment="1">
      <alignment vertical="center" wrapText="1"/>
    </xf>
    <xf numFmtId="165" fontId="5" fillId="5" borderId="0" xfId="0" applyNumberFormat="1" applyFont="1" applyFill="1" applyAlignment="1">
      <alignment horizontal="center" vertical="center" wrapText="1"/>
    </xf>
    <xf numFmtId="165" fontId="2" fillId="5" borderId="0" xfId="20" applyFill="1" applyBorder="1" applyProtection="1">
      <alignment horizontal="center" vertical="center" wrapText="1"/>
      <protection/>
    </xf>
    <xf numFmtId="164" fontId="0" fillId="5" borderId="0" xfId="0" applyFill="1" applyAlignment="1">
      <alignment/>
    </xf>
    <xf numFmtId="165" fontId="13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4" fontId="16" fillId="6" borderId="0" xfId="0" applyFont="1" applyFill="1" applyAlignment="1">
      <alignment vertical="center" wrapText="1"/>
    </xf>
    <xf numFmtId="165" fontId="7" fillId="6" borderId="0" xfId="0" applyNumberFormat="1" applyFont="1" applyFill="1" applyAlignment="1">
      <alignment horizontal="center" vertical="center" wrapText="1"/>
    </xf>
    <xf numFmtId="165" fontId="16" fillId="6" borderId="0" xfId="0" applyNumberFormat="1" applyFont="1" applyFill="1" applyAlignment="1">
      <alignment horizontal="center" vertical="center" wrapText="1"/>
    </xf>
    <xf numFmtId="165" fontId="17" fillId="6" borderId="0" xfId="0" applyNumberFormat="1" applyFont="1" applyFill="1" applyAlignment="1">
      <alignment horizontal="center" vertical="center" wrapText="1"/>
    </xf>
    <xf numFmtId="165" fontId="2" fillId="6" borderId="0" xfId="20" applyFill="1" applyBorder="1" applyProtection="1">
      <alignment horizontal="center" vertical="center" wrapText="1"/>
      <protection/>
    </xf>
    <xf numFmtId="165" fontId="18" fillId="6" borderId="0" xfId="0" applyNumberFormat="1" applyFont="1" applyFill="1" applyAlignment="1">
      <alignment horizontal="center" vertical="center" wrapText="1"/>
    </xf>
    <xf numFmtId="164" fontId="16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5" fontId="19" fillId="0" borderId="0" xfId="20" applyFont="1" applyFill="1" applyBorder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165" fontId="5" fillId="6" borderId="0" xfId="0" applyNumberFormat="1" applyFont="1" applyFill="1" applyAlignment="1">
      <alignment horizontal="center" vertical="center" wrapText="1"/>
    </xf>
    <xf numFmtId="164" fontId="16" fillId="0" borderId="0" xfId="0" applyFont="1" applyFill="1" applyAlignment="1">
      <alignment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4" fontId="8" fillId="7" borderId="0" xfId="0" applyFont="1" applyFill="1" applyAlignment="1">
      <alignment horizontal="center" vertical="center" wrapText="1"/>
    </xf>
    <xf numFmtId="164" fontId="9" fillId="0" borderId="0" xfId="0" applyFont="1" applyAlignment="1">
      <alignment horizontal="center"/>
    </xf>
    <xf numFmtId="165" fontId="20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4" fontId="1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Font="1" applyAlignment="1">
      <alignment wrapText="1"/>
    </xf>
    <xf numFmtId="164" fontId="5" fillId="0" borderId="0" xfId="0" applyNumberFormat="1" applyFont="1" applyAlignment="1">
      <alignment horizontal="left" vertical="center" wrapText="1"/>
    </xf>
    <xf numFmtId="164" fontId="20" fillId="0" borderId="0" xfId="0" applyFont="1" applyAlignment="1">
      <alignment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4" fontId="22" fillId="0" borderId="0" xfId="0" applyFont="1" applyAlignment="1">
      <alignment/>
    </xf>
    <xf numFmtId="165" fontId="23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165" fontId="25" fillId="6" borderId="0" xfId="0" applyNumberFormat="1" applyFont="1" applyFill="1" applyAlignment="1">
      <alignment horizontal="center" vertical="center" wrapText="1"/>
    </xf>
    <xf numFmtId="164" fontId="0" fillId="0" borderId="0" xfId="0" applyAlignment="1">
      <alignment horizontal="center"/>
    </xf>
    <xf numFmtId="166" fontId="26" fillId="8" borderId="0" xfId="0" applyNumberFormat="1" applyFont="1" applyFill="1" applyAlignment="1">
      <alignment horizontal="left"/>
    </xf>
    <xf numFmtId="164" fontId="0" fillId="0" borderId="0" xfId="0" applyAlignment="1">
      <alignment horizontal="right"/>
    </xf>
    <xf numFmtId="164" fontId="9" fillId="0" borderId="0" xfId="0" applyFont="1" applyAlignment="1">
      <alignment horizontal="right"/>
    </xf>
    <xf numFmtId="167" fontId="9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9" borderId="0" xfId="0" applyFont="1" applyFill="1" applyAlignment="1">
      <alignment/>
    </xf>
    <xf numFmtId="164" fontId="0" fillId="9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165" fontId="5" fillId="9" borderId="0" xfId="0" applyNumberFormat="1" applyFont="1" applyFill="1" applyAlignment="1">
      <alignment horizontal="center" vertical="center" wrapText="1"/>
    </xf>
    <xf numFmtId="168" fontId="0" fillId="9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4" fontId="7" fillId="0" borderId="0" xfId="0" applyFont="1" applyAlignment="1">
      <alignment/>
    </xf>
    <xf numFmtId="164" fontId="0" fillId="10" borderId="0" xfId="0" applyFont="1" applyFill="1" applyAlignment="1">
      <alignment/>
    </xf>
    <xf numFmtId="166" fontId="0" fillId="10" borderId="0" xfId="0" applyNumberFormat="1" applyFill="1" applyAlignment="1">
      <alignment/>
    </xf>
    <xf numFmtId="164" fontId="0" fillId="11" borderId="0" xfId="0" applyFill="1" applyAlignment="1">
      <alignment/>
    </xf>
    <xf numFmtId="169" fontId="0" fillId="10" borderId="0" xfId="0" applyNumberFormat="1" applyFill="1" applyAlignment="1">
      <alignment horizontal="center"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8" fillId="12" borderId="0" xfId="0" applyFont="1" applyFill="1" applyAlignment="1">
      <alignment horizontal="center"/>
    </xf>
    <xf numFmtId="169" fontId="0" fillId="0" borderId="0" xfId="0" applyNumberFormat="1" applyAlignment="1">
      <alignment/>
    </xf>
    <xf numFmtId="164" fontId="3" fillId="0" borderId="0" xfId="0" applyFont="1" applyFill="1" applyAlignment="1">
      <alignment/>
    </xf>
    <xf numFmtId="164" fontId="0" fillId="0" borderId="0" xfId="0" applyFill="1" applyAlignment="1">
      <alignment/>
    </xf>
    <xf numFmtId="164" fontId="29" fillId="7" borderId="0" xfId="0" applyFont="1" applyFill="1" applyAlignment="1">
      <alignment horizontal="center"/>
    </xf>
    <xf numFmtId="164" fontId="8" fillId="7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oppress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CC6633"/>
      <rgbColor rgb="00666699"/>
      <rgbColor rgb="00B3B3B3"/>
      <rgbColor rgb="00003366"/>
      <rgbColor rgb="0000AE00"/>
      <rgbColor rgb="00003300"/>
      <rgbColor rgb="00333300"/>
      <rgbColor rgb="00DC2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5"/>
  <sheetViews>
    <sheetView tabSelected="1" workbookViewId="0" topLeftCell="A1">
      <pane xSplit="1" topLeftCell="G1" activePane="topRight" state="frozen"/>
      <selection pane="topLeft" activeCell="A1" sqref="A1"/>
      <selection pane="topRight" activeCell="S1" sqref="S1"/>
    </sheetView>
  </sheetViews>
  <sheetFormatPr defaultColWidth="13.7109375" defaultRowHeight="10.5"/>
  <cols>
    <col min="1" max="1" width="23.140625" style="0" customWidth="1"/>
    <col min="2" max="2" width="8.7109375" style="0" customWidth="1"/>
    <col min="3" max="3" width="14.421875" style="0" customWidth="1"/>
    <col min="4" max="10" width="8.7109375" style="0" customWidth="1"/>
    <col min="11" max="11" width="8.57421875" style="0" customWidth="1"/>
    <col min="12" max="13" width="8.8515625" style="0" customWidth="1"/>
    <col min="14" max="23" width="8.7109375" style="0" customWidth="1"/>
  </cols>
  <sheetData>
    <row r="1" spans="1:2" s="3" customFormat="1" ht="19.5">
      <c r="A1" s="1" t="s">
        <v>0</v>
      </c>
      <c r="B1" s="2" t="s">
        <v>1</v>
      </c>
    </row>
    <row r="2" spans="8:22" s="4" customFormat="1" ht="54.75">
      <c r="H2" s="4" t="s">
        <v>2</v>
      </c>
      <c r="I2" s="5" t="s">
        <v>3</v>
      </c>
      <c r="J2" s="5" t="s">
        <v>3</v>
      </c>
      <c r="P2" s="4" t="s">
        <v>4</v>
      </c>
      <c r="R2" s="4" t="s">
        <v>5</v>
      </c>
      <c r="S2" s="4" t="s">
        <v>6</v>
      </c>
      <c r="T2" s="6"/>
      <c r="V2"/>
    </row>
    <row r="3" spans="3:26" ht="9">
      <c r="C3" s="7" t="s">
        <v>7</v>
      </c>
      <c r="D3" s="7"/>
      <c r="F3" s="7" t="s">
        <v>7</v>
      </c>
      <c r="H3" s="8"/>
      <c r="I3" s="5"/>
      <c r="J3" s="5"/>
      <c r="P3" s="7" t="s">
        <v>7</v>
      </c>
      <c r="R3" s="7" t="s">
        <v>7</v>
      </c>
      <c r="T3" s="9"/>
      <c r="W3" s="7" t="s">
        <v>7</v>
      </c>
      <c r="Y3" s="7" t="s">
        <v>7</v>
      </c>
      <c r="Z3" s="7" t="s">
        <v>7</v>
      </c>
    </row>
    <row r="4" spans="1:28" ht="9.75">
      <c r="A4" s="10"/>
      <c r="B4" s="11" t="s">
        <v>8</v>
      </c>
      <c r="C4" s="11" t="s">
        <v>9</v>
      </c>
      <c r="D4" s="11" t="s">
        <v>10</v>
      </c>
      <c r="E4" s="11" t="s">
        <v>9</v>
      </c>
      <c r="F4" s="11" t="s">
        <v>11</v>
      </c>
      <c r="G4" s="11" t="s">
        <v>11</v>
      </c>
      <c r="H4" s="11" t="s">
        <v>10</v>
      </c>
      <c r="I4" s="12" t="s">
        <v>12</v>
      </c>
      <c r="J4" s="12" t="s">
        <v>13</v>
      </c>
      <c r="K4" s="11" t="s">
        <v>11</v>
      </c>
      <c r="L4" s="11">
        <v>3</v>
      </c>
      <c r="M4" s="11" t="s">
        <v>13</v>
      </c>
      <c r="N4" s="11" t="s">
        <v>14</v>
      </c>
      <c r="O4" s="11" t="s">
        <v>9</v>
      </c>
      <c r="P4" s="13" t="s">
        <v>11</v>
      </c>
      <c r="Q4" s="11" t="s">
        <v>11</v>
      </c>
      <c r="R4" s="13" t="s">
        <v>9</v>
      </c>
      <c r="S4" s="13" t="s">
        <v>11</v>
      </c>
      <c r="T4" s="11" t="s">
        <v>8</v>
      </c>
      <c r="U4" s="11" t="s">
        <v>11</v>
      </c>
      <c r="V4" s="12" t="s">
        <v>9</v>
      </c>
      <c r="W4" s="11" t="s">
        <v>11</v>
      </c>
      <c r="X4" s="11" t="s">
        <v>13</v>
      </c>
      <c r="Y4" s="13" t="s">
        <v>15</v>
      </c>
      <c r="Z4" s="13" t="s">
        <v>10</v>
      </c>
      <c r="AA4" s="11" t="s">
        <v>9</v>
      </c>
      <c r="AB4" s="11" t="s">
        <v>13</v>
      </c>
    </row>
    <row r="5" spans="1:28" ht="18.75">
      <c r="A5" s="14" t="s">
        <v>16</v>
      </c>
      <c r="B5" s="15" t="s">
        <v>17</v>
      </c>
      <c r="C5" s="15"/>
      <c r="D5" s="16"/>
      <c r="E5" s="15" t="s">
        <v>17</v>
      </c>
      <c r="F5" s="15"/>
      <c r="G5" s="15" t="s">
        <v>17</v>
      </c>
      <c r="H5" s="8"/>
      <c r="I5" s="5" t="s">
        <v>18</v>
      </c>
      <c r="J5" s="5" t="s">
        <v>18</v>
      </c>
      <c r="K5" s="16"/>
      <c r="L5" s="15" t="s">
        <v>18</v>
      </c>
      <c r="M5" s="15" t="s">
        <v>17</v>
      </c>
      <c r="N5" s="16"/>
      <c r="O5" s="15" t="s">
        <v>17</v>
      </c>
      <c r="P5" s="16" t="s">
        <v>19</v>
      </c>
      <c r="Q5" s="15" t="s">
        <v>17</v>
      </c>
      <c r="R5" s="15"/>
      <c r="S5" s="15" t="s">
        <v>18</v>
      </c>
      <c r="T5" s="15" t="s">
        <v>20</v>
      </c>
      <c r="U5" s="15" t="s">
        <v>18</v>
      </c>
      <c r="V5" s="5" t="s">
        <v>18</v>
      </c>
      <c r="W5" s="16" t="s">
        <v>19</v>
      </c>
      <c r="X5" s="15" t="s">
        <v>17</v>
      </c>
      <c r="Y5" s="15"/>
      <c r="Z5" s="15" t="s">
        <v>21</v>
      </c>
      <c r="AA5" s="15" t="s">
        <v>17</v>
      </c>
      <c r="AB5" s="15" t="s">
        <v>17</v>
      </c>
    </row>
    <row r="6" spans="1:28" ht="9.75">
      <c r="A6" s="17" t="s">
        <v>22</v>
      </c>
      <c r="B6" s="15"/>
      <c r="C6" s="6"/>
      <c r="D6" s="6"/>
      <c r="E6" s="15"/>
      <c r="F6" s="6"/>
      <c r="G6" s="15"/>
      <c r="H6" s="8"/>
      <c r="I6" s="5"/>
      <c r="J6" s="5"/>
      <c r="K6" s="6"/>
      <c r="L6" s="6">
        <v>0.5111111111111111</v>
      </c>
      <c r="M6" s="15"/>
      <c r="N6" s="6"/>
      <c r="O6" s="15"/>
      <c r="P6" s="6"/>
      <c r="Q6" s="15"/>
      <c r="R6" s="6"/>
      <c r="S6" s="6">
        <v>0.6006944444444445</v>
      </c>
      <c r="T6" s="6">
        <v>0.601388888888889</v>
      </c>
      <c r="U6" s="6">
        <v>0.7111111111111111</v>
      </c>
      <c r="V6" s="5">
        <v>0.7555555555555555</v>
      </c>
      <c r="W6" s="6"/>
      <c r="X6" s="15"/>
      <c r="Y6" s="6"/>
      <c r="Z6" s="6"/>
      <c r="AA6" s="15"/>
      <c r="AB6" s="15"/>
    </row>
    <row r="7" spans="1:28" ht="9.75">
      <c r="A7" s="17" t="s">
        <v>23</v>
      </c>
      <c r="B7" s="15"/>
      <c r="C7" s="6"/>
      <c r="D7" s="6"/>
      <c r="E7" s="15"/>
      <c r="F7" s="6"/>
      <c r="G7" s="15"/>
      <c r="H7" s="8"/>
      <c r="I7" s="5" t="s">
        <v>24</v>
      </c>
      <c r="J7" s="5" t="s">
        <v>24</v>
      </c>
      <c r="K7" s="6"/>
      <c r="L7" s="18" t="s">
        <v>24</v>
      </c>
      <c r="M7" s="15"/>
      <c r="N7" s="6"/>
      <c r="O7" s="15"/>
      <c r="P7" s="6"/>
      <c r="Q7" s="15"/>
      <c r="R7" s="6"/>
      <c r="S7" s="18" t="s">
        <v>24</v>
      </c>
      <c r="T7" s="18" t="s">
        <v>24</v>
      </c>
      <c r="U7" s="18" t="s">
        <v>24</v>
      </c>
      <c r="V7" s="5"/>
      <c r="W7" s="6"/>
      <c r="X7" s="15"/>
      <c r="Y7" s="6"/>
      <c r="Z7" s="6"/>
      <c r="AA7" s="15"/>
      <c r="AB7" s="15"/>
    </row>
    <row r="8" spans="1:28" ht="9.75">
      <c r="A8" s="19" t="s">
        <v>25</v>
      </c>
      <c r="B8" s="6">
        <v>0.2</v>
      </c>
      <c r="C8" s="6"/>
      <c r="D8" s="6"/>
      <c r="E8" s="6">
        <v>0.3041666666666667</v>
      </c>
      <c r="F8" s="6"/>
      <c r="G8" s="6">
        <v>0.35624999999999996</v>
      </c>
      <c r="H8" s="8"/>
      <c r="I8" s="5">
        <v>0.4375</v>
      </c>
      <c r="J8" s="5">
        <v>0.4375</v>
      </c>
      <c r="K8" s="6"/>
      <c r="L8" s="6">
        <v>0.5243055555555556</v>
      </c>
      <c r="M8" s="6">
        <v>0.5333333333333333</v>
      </c>
      <c r="N8" s="6"/>
      <c r="O8" s="6">
        <v>0.5562499999999999</v>
      </c>
      <c r="P8" s="6"/>
      <c r="Q8" s="6">
        <v>0.5868055555555556</v>
      </c>
      <c r="R8" s="6"/>
      <c r="S8" s="18" t="s">
        <v>24</v>
      </c>
      <c r="T8" s="6">
        <v>0.6111111111111112</v>
      </c>
      <c r="U8" s="18" t="s">
        <v>24</v>
      </c>
      <c r="V8" s="5"/>
      <c r="W8" s="6"/>
      <c r="X8" s="6">
        <v>0.7486111111111111</v>
      </c>
      <c r="Y8" s="6"/>
      <c r="Z8" s="6"/>
      <c r="AA8" s="6">
        <v>0.7659722222222223</v>
      </c>
      <c r="AB8" s="6">
        <v>0.8659722222222223</v>
      </c>
    </row>
    <row r="9" spans="1:28" ht="9">
      <c r="A9" s="19"/>
      <c r="B9" s="20"/>
      <c r="C9" s="6"/>
      <c r="D9" s="6"/>
      <c r="E9" s="20"/>
      <c r="F9" s="6"/>
      <c r="G9" s="20"/>
      <c r="H9" s="8"/>
      <c r="I9" s="5"/>
      <c r="J9" s="5"/>
      <c r="K9" s="6"/>
      <c r="L9" s="21"/>
      <c r="M9" s="20"/>
      <c r="N9" s="6"/>
      <c r="O9" s="20"/>
      <c r="P9" s="6"/>
      <c r="Q9" s="20"/>
      <c r="R9" s="6"/>
      <c r="S9" s="21"/>
      <c r="T9" s="21"/>
      <c r="U9" s="6"/>
      <c r="V9" s="5"/>
      <c r="W9" s="6"/>
      <c r="X9" s="20"/>
      <c r="Y9" s="6"/>
      <c r="Z9" s="6"/>
      <c r="AA9" s="20"/>
      <c r="AB9" s="20"/>
    </row>
    <row r="10" spans="1:28" ht="9.75">
      <c r="A10" s="19" t="s">
        <v>26</v>
      </c>
      <c r="B10" s="6">
        <v>0.2013888888888889</v>
      </c>
      <c r="C10" s="20"/>
      <c r="D10" s="20"/>
      <c r="E10" s="6">
        <v>0.30625</v>
      </c>
      <c r="F10" s="20"/>
      <c r="G10" s="6">
        <v>0.35833333333333334</v>
      </c>
      <c r="H10" s="8"/>
      <c r="I10" s="5" t="s">
        <v>24</v>
      </c>
      <c r="J10" s="5" t="s">
        <v>24</v>
      </c>
      <c r="K10" s="20"/>
      <c r="L10" s="18" t="s">
        <v>24</v>
      </c>
      <c r="M10" s="6">
        <v>0.5347222222222222</v>
      </c>
      <c r="N10" s="20"/>
      <c r="O10" s="6">
        <v>0.5576388888888888</v>
      </c>
      <c r="P10" s="20"/>
      <c r="Q10" s="6">
        <v>0.5881944444444445</v>
      </c>
      <c r="R10" s="20"/>
      <c r="S10" s="18" t="s">
        <v>24</v>
      </c>
      <c r="T10" s="22"/>
      <c r="U10" s="20"/>
      <c r="V10" s="5"/>
      <c r="W10" s="20"/>
      <c r="X10" s="6">
        <v>0.7506944444444444</v>
      </c>
      <c r="Y10" s="20"/>
      <c r="Z10" s="20"/>
      <c r="AA10" s="6">
        <v>0.7680555555555556</v>
      </c>
      <c r="AB10" s="6">
        <v>0.8673611111111111</v>
      </c>
    </row>
    <row r="11" spans="1:28" s="26" customFormat="1" ht="9.75">
      <c r="A11" s="23" t="s">
        <v>27</v>
      </c>
      <c r="B11" s="24">
        <v>0.20347222222222222</v>
      </c>
      <c r="C11" s="24">
        <v>0.2673611111111111</v>
      </c>
      <c r="D11" s="24">
        <v>0.2881944444444444</v>
      </c>
      <c r="E11" s="24">
        <v>0.3076388888888889</v>
      </c>
      <c r="F11" s="24">
        <v>0.3145833333333333</v>
      </c>
      <c r="G11" s="24">
        <v>0.3597222222222222</v>
      </c>
      <c r="H11" s="8">
        <v>0.35555555555555557</v>
      </c>
      <c r="I11" s="25">
        <v>0.44097222222222227</v>
      </c>
      <c r="J11" s="25">
        <v>0.44097222222222227</v>
      </c>
      <c r="K11" s="24">
        <v>0.5104166666666666</v>
      </c>
      <c r="L11" s="24">
        <v>0.5277777777777778</v>
      </c>
      <c r="M11" s="24">
        <v>0.5368055555555555</v>
      </c>
      <c r="N11" s="24">
        <v>0.5520833333333334</v>
      </c>
      <c r="O11" s="24">
        <v>0.5583333333333333</v>
      </c>
      <c r="P11" s="24">
        <v>0.5895833333333333</v>
      </c>
      <c r="Q11" s="24">
        <v>0.5888888888888889</v>
      </c>
      <c r="R11" s="24">
        <v>0.6041666666666666</v>
      </c>
      <c r="S11" s="24">
        <v>0.6118055555555556</v>
      </c>
      <c r="T11" s="24">
        <v>0.6145833333333334</v>
      </c>
      <c r="U11" s="24" t="s">
        <v>28</v>
      </c>
      <c r="V11" s="25" t="s">
        <v>28</v>
      </c>
      <c r="W11" s="24">
        <v>0.7277777777777777</v>
      </c>
      <c r="X11" s="24">
        <v>0.7513888888888889</v>
      </c>
      <c r="Y11" s="24">
        <v>0.7743055555555556</v>
      </c>
      <c r="Z11" s="24">
        <v>0.7875</v>
      </c>
      <c r="AA11" s="24">
        <v>0.76875</v>
      </c>
      <c r="AB11" s="24">
        <v>0.86875</v>
      </c>
    </row>
    <row r="12" spans="1:28" s="26" customFormat="1" ht="9.75">
      <c r="A12" s="23" t="s">
        <v>29</v>
      </c>
      <c r="B12" s="24"/>
      <c r="C12" s="24"/>
      <c r="D12" s="24"/>
      <c r="E12" s="24"/>
      <c r="F12" s="24"/>
      <c r="G12" s="24"/>
      <c r="H12" s="8"/>
      <c r="I12" s="25">
        <v>0.4444444444444444</v>
      </c>
      <c r="J12" s="25"/>
      <c r="K12" s="24"/>
      <c r="L12" s="24"/>
      <c r="M12" s="24"/>
      <c r="N12" s="24"/>
      <c r="O12" s="24"/>
      <c r="P12" s="24"/>
      <c r="Q12" s="24"/>
      <c r="R12" s="24"/>
      <c r="S12" s="24"/>
      <c r="T12" s="24">
        <v>0.6180555555555556</v>
      </c>
      <c r="U12" s="24"/>
      <c r="V12" s="25"/>
      <c r="W12" s="24"/>
      <c r="X12" s="24"/>
      <c r="Y12" s="24"/>
      <c r="Z12" s="24"/>
      <c r="AA12" s="24"/>
      <c r="AB12" s="24"/>
    </row>
    <row r="13" spans="1:28" ht="9.75">
      <c r="A13" s="19" t="s">
        <v>26</v>
      </c>
      <c r="B13" s="6">
        <v>0.20416666666666666</v>
      </c>
      <c r="C13" s="20"/>
      <c r="D13" s="20"/>
      <c r="E13" s="6">
        <v>0.3090277777777778</v>
      </c>
      <c r="F13" s="20"/>
      <c r="G13" s="6">
        <v>0.3611111111111111</v>
      </c>
      <c r="H13" s="8"/>
      <c r="I13" s="5"/>
      <c r="J13" s="5"/>
      <c r="K13" s="20"/>
      <c r="L13" s="20"/>
      <c r="M13" s="6">
        <v>0.5375</v>
      </c>
      <c r="N13" s="20"/>
      <c r="O13" s="6">
        <v>0.5590277777777778</v>
      </c>
      <c r="P13" s="20"/>
      <c r="Q13" s="6">
        <v>0.5895833333333333</v>
      </c>
      <c r="R13" s="20"/>
      <c r="S13" s="20"/>
      <c r="T13" s="6">
        <v>0.6215277777777778</v>
      </c>
      <c r="U13" s="20"/>
      <c r="V13" s="5"/>
      <c r="W13" s="20"/>
      <c r="X13" s="6">
        <v>0.7520833333333333</v>
      </c>
      <c r="Y13" s="20"/>
      <c r="Z13" s="20"/>
      <c r="AA13" s="6">
        <v>0.7694444444444445</v>
      </c>
      <c r="AB13" s="6">
        <v>0.8694444444444445</v>
      </c>
    </row>
    <row r="14" spans="1:28" ht="9.75">
      <c r="A14" s="19" t="s">
        <v>30</v>
      </c>
      <c r="B14" s="6">
        <v>0.20555555555555555</v>
      </c>
      <c r="C14" s="27">
        <v>0.26805555555555555</v>
      </c>
      <c r="D14" s="27">
        <v>0.28888888888888886</v>
      </c>
      <c r="E14" s="6">
        <v>0.3111111111111111</v>
      </c>
      <c r="F14" s="27">
        <v>0.31527777777777777</v>
      </c>
      <c r="G14" s="6">
        <v>0.36319444444444443</v>
      </c>
      <c r="H14" s="8">
        <v>0.3576388888888889</v>
      </c>
      <c r="I14" s="5">
        <v>0.45</v>
      </c>
      <c r="J14" s="5">
        <v>0.45</v>
      </c>
      <c r="K14" s="27">
        <v>0.5111111111111111</v>
      </c>
      <c r="L14" s="6">
        <v>0.5368055555555555</v>
      </c>
      <c r="M14" s="6">
        <v>0.5388888888888889</v>
      </c>
      <c r="N14" s="27">
        <v>0.5527777777777778</v>
      </c>
      <c r="O14" s="6">
        <v>0.5604166666666667</v>
      </c>
      <c r="P14" s="27">
        <v>0.5895833333333333</v>
      </c>
      <c r="Q14" s="6">
        <v>0.5902777777777778</v>
      </c>
      <c r="R14" s="27">
        <v>0.6048611111111111</v>
      </c>
      <c r="S14" s="6">
        <v>0.6138888888888889</v>
      </c>
      <c r="T14" s="6">
        <v>0.6236111111111111</v>
      </c>
      <c r="U14" s="18" t="s">
        <v>24</v>
      </c>
      <c r="V14" s="5"/>
      <c r="W14" s="27">
        <v>0.7291666666666666</v>
      </c>
      <c r="X14" s="6">
        <v>0.7527777777777778</v>
      </c>
      <c r="Y14" s="27">
        <v>0.775</v>
      </c>
      <c r="Z14" s="27">
        <v>0.7881944444444444</v>
      </c>
      <c r="AA14" s="6">
        <v>0.7701388888888889</v>
      </c>
      <c r="AB14" s="6">
        <v>0.8708333333333333</v>
      </c>
    </row>
    <row r="15" spans="1:28" ht="18.75">
      <c r="A15" s="19" t="s">
        <v>31</v>
      </c>
      <c r="B15" s="20"/>
      <c r="C15" s="27"/>
      <c r="D15" s="27"/>
      <c r="E15" s="20"/>
      <c r="F15" s="27"/>
      <c r="G15" s="20"/>
      <c r="H15" s="8"/>
      <c r="I15" s="5" t="s">
        <v>28</v>
      </c>
      <c r="J15" s="5" t="s">
        <v>28</v>
      </c>
      <c r="K15" s="27"/>
      <c r="L15" s="6" t="s">
        <v>28</v>
      </c>
      <c r="M15" s="20"/>
      <c r="N15" s="27"/>
      <c r="O15" s="20"/>
      <c r="P15" s="27"/>
      <c r="Q15" s="20"/>
      <c r="R15" s="27"/>
      <c r="S15" s="6" t="s">
        <v>28</v>
      </c>
      <c r="T15" s="6" t="s">
        <v>28</v>
      </c>
      <c r="U15" s="6">
        <v>0.7159722222222222</v>
      </c>
      <c r="V15" s="5"/>
      <c r="W15" s="27"/>
      <c r="X15" s="20"/>
      <c r="Y15" s="27"/>
      <c r="Z15" s="27"/>
      <c r="AA15" s="20"/>
      <c r="AB15" s="20"/>
    </row>
    <row r="16" spans="1:28" ht="9.75">
      <c r="A16" s="19" t="s">
        <v>32</v>
      </c>
      <c r="B16" s="6">
        <v>0.20625</v>
      </c>
      <c r="C16" s="27">
        <v>0.26944444444444443</v>
      </c>
      <c r="D16" s="27">
        <v>0.2902777777777778</v>
      </c>
      <c r="E16" s="6">
        <v>0.31319444444444444</v>
      </c>
      <c r="F16" s="27">
        <v>0.31666666666666665</v>
      </c>
      <c r="G16" s="6">
        <v>0.36527777777777776</v>
      </c>
      <c r="H16" s="8">
        <v>0.3590277777777778</v>
      </c>
      <c r="I16" s="5">
        <v>0.4513888888888889</v>
      </c>
      <c r="J16" s="5">
        <v>0.4513888888888889</v>
      </c>
      <c r="K16" s="27">
        <v>0.5125</v>
      </c>
      <c r="L16" s="6">
        <v>0.5381944444444444</v>
      </c>
      <c r="M16" s="6">
        <v>0.5395833333333333</v>
      </c>
      <c r="N16" s="27">
        <v>0.5541666666666667</v>
      </c>
      <c r="O16" s="6">
        <v>0.5625</v>
      </c>
      <c r="P16" s="27">
        <v>0.5909722222222222</v>
      </c>
      <c r="Q16" s="6">
        <v>0.5916666666666667</v>
      </c>
      <c r="R16" s="27">
        <v>0.60625</v>
      </c>
      <c r="S16" s="6">
        <v>0.6152777777777778</v>
      </c>
      <c r="T16" s="6">
        <v>0.625</v>
      </c>
      <c r="U16" s="6" t="s">
        <v>28</v>
      </c>
      <c r="V16" s="5"/>
      <c r="W16" s="27">
        <v>0.7305555555555555</v>
      </c>
      <c r="X16" s="6">
        <v>0.7541666666666667</v>
      </c>
      <c r="Y16" s="27">
        <v>0.7763888888888889</v>
      </c>
      <c r="Z16" s="27">
        <v>0.7895833333333333</v>
      </c>
      <c r="AA16" s="6">
        <v>0.7715277777777778</v>
      </c>
      <c r="AB16" s="6">
        <v>0.8715277777777778</v>
      </c>
    </row>
    <row r="17" spans="1:28" ht="9.75">
      <c r="A17" s="19" t="s">
        <v>33</v>
      </c>
      <c r="B17" s="20"/>
      <c r="C17" s="6"/>
      <c r="D17" s="6"/>
      <c r="E17" s="20"/>
      <c r="F17" s="6"/>
      <c r="G17" s="20"/>
      <c r="H17" s="8"/>
      <c r="I17" s="5" t="s">
        <v>28</v>
      </c>
      <c r="J17" s="5" t="s">
        <v>28</v>
      </c>
      <c r="K17" s="6"/>
      <c r="L17" s="6" t="s">
        <v>28</v>
      </c>
      <c r="M17" s="20"/>
      <c r="N17" s="6"/>
      <c r="O17" s="20"/>
      <c r="P17" s="6"/>
      <c r="Q17" s="20"/>
      <c r="R17" s="6"/>
      <c r="S17" s="6" t="s">
        <v>28</v>
      </c>
      <c r="T17" s="6" t="s">
        <v>28</v>
      </c>
      <c r="U17" s="6">
        <v>0.7180555555555556</v>
      </c>
      <c r="V17" s="5"/>
      <c r="W17" s="6"/>
      <c r="X17" s="20"/>
      <c r="Y17" s="6"/>
      <c r="Z17" s="6"/>
      <c r="AA17" s="20"/>
      <c r="AB17" s="20"/>
    </row>
    <row r="18" spans="1:28" ht="9">
      <c r="A18" s="19"/>
      <c r="B18" s="20"/>
      <c r="C18" s="6"/>
      <c r="D18" s="6"/>
      <c r="E18" s="20"/>
      <c r="F18" s="6"/>
      <c r="G18" s="20"/>
      <c r="H18" s="8"/>
      <c r="I18" s="5"/>
      <c r="J18" s="5"/>
      <c r="K18" s="6"/>
      <c r="L18" s="6"/>
      <c r="M18" s="20"/>
      <c r="N18" s="6"/>
      <c r="O18" s="20"/>
      <c r="P18" s="6"/>
      <c r="Q18" s="20"/>
      <c r="R18" s="6"/>
      <c r="S18" s="6"/>
      <c r="T18" s="6"/>
      <c r="U18" s="6"/>
      <c r="V18" s="5"/>
      <c r="W18" s="6"/>
      <c r="X18" s="20"/>
      <c r="Y18" s="6"/>
      <c r="Z18" s="6"/>
      <c r="AA18" s="20"/>
      <c r="AB18" s="20"/>
    </row>
    <row r="19" spans="1:28" ht="9.75">
      <c r="A19" s="19" t="s">
        <v>34</v>
      </c>
      <c r="B19" s="28">
        <v>0.20972222222222223</v>
      </c>
      <c r="C19" s="6">
        <v>0.2708333333333333</v>
      </c>
      <c r="D19" s="27">
        <v>0.29305555555555557</v>
      </c>
      <c r="E19" s="28">
        <v>0.31597222222222227</v>
      </c>
      <c r="F19" s="6">
        <v>0.3194444444444444</v>
      </c>
      <c r="G19" s="28">
        <v>0.3673611111111111</v>
      </c>
      <c r="H19" s="8">
        <v>0.3625</v>
      </c>
      <c r="I19" s="5">
        <v>0.45486111111111116</v>
      </c>
      <c r="J19" s="5">
        <v>0.45486111111111116</v>
      </c>
      <c r="K19" s="27">
        <v>0.5152777777777777</v>
      </c>
      <c r="L19" s="6">
        <v>0.5416666666666666</v>
      </c>
      <c r="M19" s="28">
        <v>0.5430555555555555</v>
      </c>
      <c r="N19" s="27">
        <v>0.5569444444444445</v>
      </c>
      <c r="O19" s="28">
        <v>0.5659722222222222</v>
      </c>
      <c r="P19" s="27">
        <v>0.5923611111111111</v>
      </c>
      <c r="Q19" s="28">
        <v>0.5944444444444444</v>
      </c>
      <c r="R19" s="6">
        <v>0.6111111111111112</v>
      </c>
      <c r="S19" s="6">
        <v>0.61875</v>
      </c>
      <c r="T19" s="6">
        <v>0.6284722222222222</v>
      </c>
      <c r="U19" s="6">
        <v>0.7222222222222222</v>
      </c>
      <c r="V19" s="5">
        <v>0.7743055555555556</v>
      </c>
      <c r="W19" s="27">
        <v>0.7319444444444444</v>
      </c>
      <c r="X19" s="28">
        <v>0.7569444444444444</v>
      </c>
      <c r="Y19" s="6">
        <v>0.78125</v>
      </c>
      <c r="Z19" s="6">
        <v>0.7923611111111111</v>
      </c>
      <c r="AA19" s="28">
        <v>0.7743055555555556</v>
      </c>
      <c r="AB19" s="28">
        <v>0.8729166666666667</v>
      </c>
    </row>
    <row r="20" spans="1:28" ht="18.75">
      <c r="A20" s="19" t="s">
        <v>35</v>
      </c>
      <c r="B20" s="28">
        <v>0.21319444444444444</v>
      </c>
      <c r="C20" s="6">
        <v>0.2743055555555556</v>
      </c>
      <c r="D20" s="6">
        <v>0.2951388888888889</v>
      </c>
      <c r="E20" s="28">
        <v>0.3194444444444444</v>
      </c>
      <c r="F20" s="6">
        <v>0.3229166666666667</v>
      </c>
      <c r="G20" s="28">
        <v>0.3715277777777778</v>
      </c>
      <c r="H20" s="8">
        <v>0.3659722222222222</v>
      </c>
      <c r="I20" s="5">
        <v>0.4583333333333333</v>
      </c>
      <c r="J20" s="5">
        <v>0.4583333333333333</v>
      </c>
      <c r="K20" s="6">
        <v>0.5173611111111112</v>
      </c>
      <c r="L20" s="6">
        <v>0.5465277777777777</v>
      </c>
      <c r="M20" s="28">
        <v>0.5465277777777777</v>
      </c>
      <c r="N20" s="6">
        <v>0.5590277777777778</v>
      </c>
      <c r="O20" s="28">
        <v>0.5694444444444444</v>
      </c>
      <c r="P20" s="6">
        <v>0.5958333333333333</v>
      </c>
      <c r="Q20" s="28">
        <v>0.5972222222222222</v>
      </c>
      <c r="R20" s="6">
        <v>0.6145833333333334</v>
      </c>
      <c r="S20" s="6">
        <v>0.6222222222222222</v>
      </c>
      <c r="T20" s="6">
        <v>0.6319444444444444</v>
      </c>
      <c r="U20" s="6">
        <v>0.7256944444444445</v>
      </c>
      <c r="V20" s="5">
        <v>0.7777777777777778</v>
      </c>
      <c r="W20" s="6">
        <v>0.7354166666666667</v>
      </c>
      <c r="X20" s="28">
        <v>0.7604166666666666</v>
      </c>
      <c r="Y20" s="6">
        <v>0.7847222222222222</v>
      </c>
      <c r="Z20" s="6">
        <v>0.7951388888888888</v>
      </c>
      <c r="AA20" s="28">
        <v>0.7777777777777778</v>
      </c>
      <c r="AB20" s="28">
        <v>0.8770833333333333</v>
      </c>
    </row>
    <row r="21" spans="1:28" ht="9">
      <c r="A21" s="19"/>
      <c r="B21" s="28"/>
      <c r="C21" s="6"/>
      <c r="D21" s="6"/>
      <c r="E21" s="28"/>
      <c r="F21" s="6"/>
      <c r="G21" s="28"/>
      <c r="H21" s="8"/>
      <c r="I21" s="6"/>
      <c r="J21" s="6"/>
      <c r="K21" s="6"/>
      <c r="L21" s="6"/>
      <c r="M21" s="6"/>
      <c r="N21" s="6"/>
      <c r="O21" s="28"/>
      <c r="P21" s="6"/>
      <c r="Q21" s="28"/>
      <c r="R21" s="6"/>
      <c r="S21" s="6"/>
      <c r="T21" s="6"/>
      <c r="U21" s="6"/>
      <c r="V21" s="5"/>
      <c r="W21" s="6"/>
      <c r="X21" s="29"/>
      <c r="Y21" s="6"/>
      <c r="Z21" s="6"/>
      <c r="AA21" s="28"/>
      <c r="AB21" s="28"/>
    </row>
    <row r="22" spans="1:28" ht="9.75">
      <c r="A22" s="30" t="s">
        <v>36</v>
      </c>
      <c r="B22" s="31">
        <v>0.20555555555555555</v>
      </c>
      <c r="C22" s="32" t="s">
        <v>37</v>
      </c>
      <c r="D22" s="32">
        <v>0.3013888888888889</v>
      </c>
      <c r="E22" s="31">
        <v>0.31805555555555554</v>
      </c>
      <c r="F22" s="33">
        <v>0.3423611111111111</v>
      </c>
      <c r="G22" s="33">
        <v>0.37430555555555556</v>
      </c>
      <c r="H22" s="34">
        <v>0.3638888888888889</v>
      </c>
      <c r="I22" s="35">
        <v>0.46041666666666664</v>
      </c>
      <c r="J22" s="35">
        <v>0.46041666666666664</v>
      </c>
      <c r="K22" s="32" t="s">
        <v>38</v>
      </c>
      <c r="L22" s="32">
        <v>0.55</v>
      </c>
      <c r="M22" s="32">
        <v>0.55</v>
      </c>
      <c r="N22" s="32">
        <v>0.5833333333333334</v>
      </c>
      <c r="O22" s="32">
        <v>0.5833333333333334</v>
      </c>
      <c r="P22" s="32" t="s">
        <v>38</v>
      </c>
      <c r="Q22" s="32" t="s">
        <v>38</v>
      </c>
      <c r="R22" s="32">
        <v>0.6243055555555556</v>
      </c>
      <c r="S22" s="32">
        <v>0.6243055555555556</v>
      </c>
      <c r="T22" s="32">
        <v>0.6333333333333333</v>
      </c>
      <c r="U22" s="32">
        <v>0.7423611111111111</v>
      </c>
      <c r="V22" s="34">
        <v>0.7909722222222222</v>
      </c>
      <c r="W22" s="32">
        <v>0.7402777777777778</v>
      </c>
      <c r="X22" s="31">
        <v>0.7583333333333333</v>
      </c>
      <c r="Y22" s="32">
        <v>0.7909722222222222</v>
      </c>
      <c r="Z22" s="32">
        <v>0.8</v>
      </c>
      <c r="AA22" s="32">
        <v>0.7909722222222222</v>
      </c>
      <c r="AB22" s="32">
        <v>0.8833333333333333</v>
      </c>
    </row>
    <row r="23" spans="1:28" ht="9.75">
      <c r="A23" s="30" t="s">
        <v>39</v>
      </c>
      <c r="B23" s="32" t="s">
        <v>38</v>
      </c>
      <c r="C23" s="31" t="s">
        <v>40</v>
      </c>
      <c r="D23" s="32">
        <v>0.30277777777777776</v>
      </c>
      <c r="E23" s="32">
        <v>0.3236111111111111</v>
      </c>
      <c r="F23" s="32">
        <v>0.3236111111111111</v>
      </c>
      <c r="G23" s="32">
        <v>0.3770833333333333</v>
      </c>
      <c r="H23" s="34">
        <v>0.36527777777777776</v>
      </c>
      <c r="I23" s="32" t="s">
        <v>38</v>
      </c>
      <c r="J23" s="32" t="s">
        <v>38</v>
      </c>
      <c r="K23" s="32">
        <v>0.5333333333333333</v>
      </c>
      <c r="L23" s="32" t="s">
        <v>38</v>
      </c>
      <c r="M23" s="32" t="s">
        <v>38</v>
      </c>
      <c r="N23" s="32">
        <v>0.5736111111111111</v>
      </c>
      <c r="O23" s="32">
        <v>0.5805555555555556</v>
      </c>
      <c r="P23" s="32" t="s">
        <v>38</v>
      </c>
      <c r="Q23" s="32" t="s">
        <v>38</v>
      </c>
      <c r="R23" s="32">
        <v>0.6152777777777778</v>
      </c>
      <c r="S23" s="32">
        <v>0.6263888888888889</v>
      </c>
      <c r="T23" s="32" t="s">
        <v>38</v>
      </c>
      <c r="U23" s="32">
        <v>0.7402777777777778</v>
      </c>
      <c r="V23" s="34">
        <v>0.7819444444444444</v>
      </c>
      <c r="W23" s="32">
        <v>0.7423611111111111</v>
      </c>
      <c r="X23" s="32">
        <v>0.7423611111111111</v>
      </c>
      <c r="Y23" s="32">
        <v>0.7923611111111111</v>
      </c>
      <c r="Z23" s="32">
        <v>0.7965277777777777</v>
      </c>
      <c r="AA23" s="32">
        <v>0.7819444444444444</v>
      </c>
      <c r="AB23" s="31">
        <v>0.8708333333333333</v>
      </c>
    </row>
    <row r="24" spans="4:14" ht="9">
      <c r="D24" s="36"/>
      <c r="F24" s="36"/>
      <c r="H24" s="36"/>
      <c r="K24" s="36"/>
      <c r="N24" s="36"/>
    </row>
    <row r="25" spans="1:28" ht="9.75">
      <c r="A25" s="16" t="s">
        <v>41</v>
      </c>
      <c r="B25" s="37" t="s">
        <v>42</v>
      </c>
      <c r="C25" s="37"/>
      <c r="D25" s="38" t="s">
        <v>43</v>
      </c>
      <c r="E25" s="37" t="s">
        <v>42</v>
      </c>
      <c r="F25" t="s">
        <v>42</v>
      </c>
      <c r="H25" s="37"/>
      <c r="K25" s="37" t="s">
        <v>42</v>
      </c>
      <c r="M25" s="37" t="s">
        <v>42</v>
      </c>
      <c r="N25" s="37" t="s">
        <v>42</v>
      </c>
      <c r="O25" s="37" t="s">
        <v>42</v>
      </c>
      <c r="P25" s="37"/>
      <c r="AA25" s="37" t="s">
        <v>42</v>
      </c>
      <c r="AB25" s="37" t="s">
        <v>42</v>
      </c>
    </row>
    <row r="26" spans="1:28" ht="18.75">
      <c r="A26" s="16" t="s">
        <v>44</v>
      </c>
      <c r="B26" s="39" t="s">
        <v>45</v>
      </c>
      <c r="D26" s="16" t="s">
        <v>46</v>
      </c>
      <c r="E26" s="5" t="s">
        <v>47</v>
      </c>
      <c r="F26" s="16" t="s">
        <v>19</v>
      </c>
      <c r="H26" s="16"/>
      <c r="K26" s="16" t="s">
        <v>48</v>
      </c>
      <c r="M26" s="39" t="s">
        <v>49</v>
      </c>
      <c r="N26" s="16" t="s">
        <v>46</v>
      </c>
      <c r="O26" s="39" t="s">
        <v>50</v>
      </c>
      <c r="P26" s="6"/>
      <c r="AA26" s="8" t="s">
        <v>51</v>
      </c>
      <c r="AB26" s="39" t="s">
        <v>52</v>
      </c>
    </row>
    <row r="27" spans="2:28" ht="18.75">
      <c r="B27" s="39" t="s">
        <v>53</v>
      </c>
      <c r="E27" s="5" t="s">
        <v>53</v>
      </c>
      <c r="F27" s="20"/>
      <c r="M27" s="39" t="s">
        <v>54</v>
      </c>
      <c r="N27" s="6"/>
      <c r="O27" s="39" t="s">
        <v>53</v>
      </c>
      <c r="P27" s="20"/>
      <c r="AA27" s="8" t="s">
        <v>53</v>
      </c>
      <c r="AB27" s="39" t="s">
        <v>53</v>
      </c>
    </row>
    <row r="28" spans="2:28" ht="18.75">
      <c r="B28" s="39" t="s">
        <v>55</v>
      </c>
      <c r="E28" s="5" t="s">
        <v>56</v>
      </c>
      <c r="F28" s="20"/>
      <c r="M28" s="39" t="s">
        <v>57</v>
      </c>
      <c r="N28" s="6"/>
      <c r="O28" s="39" t="s">
        <v>56</v>
      </c>
      <c r="P28" s="20"/>
      <c r="AA28" s="8" t="s">
        <v>56</v>
      </c>
      <c r="AB28" s="39" t="s">
        <v>55</v>
      </c>
    </row>
    <row r="29" spans="2:15" ht="18.75">
      <c r="B29" s="39" t="s">
        <v>58</v>
      </c>
      <c r="E29" s="5"/>
      <c r="M29" s="39" t="s">
        <v>59</v>
      </c>
      <c r="N29" s="6"/>
      <c r="O29" s="39"/>
    </row>
    <row r="30" spans="13:14" ht="9">
      <c r="M30" s="39"/>
      <c r="N30" s="6"/>
    </row>
    <row r="31" spans="1:29" ht="9">
      <c r="A31" s="16" t="s">
        <v>60</v>
      </c>
      <c r="B31" s="40">
        <f>(93.1+79.3)*277</f>
        <v>47754.799999999996</v>
      </c>
      <c r="C31" s="40">
        <f>8.7*277</f>
        <v>2409.8999999999996</v>
      </c>
      <c r="D31" s="40">
        <f>8.7*277</f>
        <v>2409.8999999999996</v>
      </c>
      <c r="E31" s="40">
        <f>79.3*277</f>
        <v>21966.1</v>
      </c>
      <c r="F31" s="40">
        <f>8.7*277</f>
        <v>2409.8999999999996</v>
      </c>
      <c r="H31" s="40">
        <f>35.2*277</f>
        <v>9750.400000000001</v>
      </c>
      <c r="I31" s="40">
        <f>60*777</f>
        <v>46620</v>
      </c>
      <c r="J31" s="40">
        <f>60*231</f>
        <v>13860</v>
      </c>
      <c r="K31" s="40">
        <f>8.7*277</f>
        <v>2409.8999999999996</v>
      </c>
      <c r="L31" s="40">
        <f>52*50.3</f>
        <v>2615.6</v>
      </c>
      <c r="M31" s="40">
        <f>(93.1+79.3)*231</f>
        <v>39824.399999999994</v>
      </c>
      <c r="N31" s="40">
        <f>8.7*277</f>
        <v>2409.8999999999996</v>
      </c>
      <c r="O31" s="40">
        <f>79.3*277</f>
        <v>21966.1</v>
      </c>
      <c r="P31" s="40">
        <f>8.7*277</f>
        <v>2409.8999999999996</v>
      </c>
      <c r="R31" s="40">
        <f>8.7*277</f>
        <v>2409.8999999999996</v>
      </c>
      <c r="S31" s="40">
        <f>207*32.6</f>
        <v>6748.200000000001</v>
      </c>
      <c r="T31" s="40">
        <f>277*33.7</f>
        <v>9334.900000000001</v>
      </c>
      <c r="U31" s="40">
        <f>207*32.6</f>
        <v>6748.200000000001</v>
      </c>
      <c r="V31" s="40">
        <f>302*36.1</f>
        <v>10902.2</v>
      </c>
      <c r="W31" s="40">
        <f>8.7*277</f>
        <v>2409.8999999999996</v>
      </c>
      <c r="Y31" s="40">
        <f>8.7*277</f>
        <v>2409.8999999999996</v>
      </c>
      <c r="Z31" s="40">
        <f>8.7*277</f>
        <v>2409.8999999999996</v>
      </c>
      <c r="AA31" s="40">
        <f>79.3*277</f>
        <v>21966.1</v>
      </c>
      <c r="AB31" s="40">
        <f>(79.3)*231</f>
        <v>18318.3</v>
      </c>
      <c r="AC31" s="41">
        <f>SUM(B31:AB31)</f>
        <v>302474.3</v>
      </c>
    </row>
    <row r="32" spans="1:29" ht="9">
      <c r="A32" s="16" t="s">
        <v>61</v>
      </c>
      <c r="B32" s="40">
        <f>(-34-40.8+2.8)*277</f>
        <v>-19944</v>
      </c>
      <c r="C32" s="40">
        <f>C31</f>
        <v>2409.8999999999996</v>
      </c>
      <c r="D32" s="40">
        <f>D31</f>
        <v>2409.8999999999996</v>
      </c>
      <c r="E32" s="40">
        <f>(-34+2.8)*277</f>
        <v>-8642.4</v>
      </c>
      <c r="F32" s="40">
        <f>F31</f>
        <v>2409.8999999999996</v>
      </c>
      <c r="G32">
        <v>0</v>
      </c>
      <c r="H32" s="40">
        <v>0</v>
      </c>
      <c r="I32" s="40">
        <f>-I31</f>
        <v>-46620</v>
      </c>
      <c r="J32" s="40">
        <f>-J31</f>
        <v>-13860</v>
      </c>
      <c r="K32" s="40">
        <f>K31</f>
        <v>2409.8999999999996</v>
      </c>
      <c r="L32" s="40">
        <f>52*1.8</f>
        <v>93.60000000000001</v>
      </c>
      <c r="M32" s="40">
        <f>(-34-40.8+2.8)*231</f>
        <v>-16632</v>
      </c>
      <c r="N32" s="40">
        <f>N31</f>
        <v>2409.8999999999996</v>
      </c>
      <c r="O32" s="40">
        <f>(-34+2.8)*277</f>
        <v>-8642.4</v>
      </c>
      <c r="P32" s="40">
        <f>P31</f>
        <v>2409.8999999999996</v>
      </c>
      <c r="Q32">
        <v>0</v>
      </c>
      <c r="R32" s="40">
        <f>R31</f>
        <v>2409.8999999999996</v>
      </c>
      <c r="S32" s="40">
        <f>207*1.8</f>
        <v>372.6</v>
      </c>
      <c r="T32" s="40">
        <f>277*1.8</f>
        <v>498.6</v>
      </c>
      <c r="U32" s="40">
        <f>207*1.8</f>
        <v>372.6</v>
      </c>
      <c r="V32" s="40">
        <f>-V31</f>
        <v>-10902.2</v>
      </c>
      <c r="W32" s="40">
        <f>W31</f>
        <v>2409.8999999999996</v>
      </c>
      <c r="X32">
        <v>0</v>
      </c>
      <c r="Y32" s="40">
        <f>Y31</f>
        <v>2409.8999999999996</v>
      </c>
      <c r="Z32" s="40">
        <f>Z31</f>
        <v>2409.8999999999996</v>
      </c>
      <c r="AA32" s="40">
        <f>(-34+2.8)*277</f>
        <v>-8642.4</v>
      </c>
      <c r="AB32" s="40">
        <f>(-34+2.8)*231</f>
        <v>-7207.2</v>
      </c>
      <c r="AC32" s="41">
        <f>SUM(B32:AB32)</f>
        <v>-115656.2</v>
      </c>
    </row>
    <row r="33" spans="1:28" ht="9.75">
      <c r="A33" s="16" t="s">
        <v>62</v>
      </c>
      <c r="B33" t="s">
        <v>63</v>
      </c>
      <c r="H33" t="s">
        <v>64</v>
      </c>
      <c r="I33" t="s">
        <v>65</v>
      </c>
      <c r="J33" t="s">
        <v>65</v>
      </c>
      <c r="M33" t="s">
        <v>63</v>
      </c>
      <c r="O33" t="s">
        <v>66</v>
      </c>
      <c r="V33" t="s">
        <v>65</v>
      </c>
      <c r="AB33" t="s">
        <v>63</v>
      </c>
    </row>
    <row r="35" spans="1:2" s="3" customFormat="1" ht="19.5">
      <c r="A35" s="1" t="s">
        <v>0</v>
      </c>
      <c r="B35" s="2" t="s">
        <v>67</v>
      </c>
    </row>
    <row r="38" spans="1:27" ht="9.75">
      <c r="A38" s="30" t="s">
        <v>68</v>
      </c>
      <c r="B38" s="31"/>
      <c r="C38" s="32">
        <v>0.24930555555555556</v>
      </c>
      <c r="D38" s="31">
        <v>0.24930555555555556</v>
      </c>
      <c r="E38" s="32" t="s">
        <v>38</v>
      </c>
      <c r="F38" s="31">
        <v>0.2791666666666667</v>
      </c>
      <c r="G38" s="32">
        <v>0.2791666666666667</v>
      </c>
      <c r="H38" s="42">
        <v>0.2791666666666667</v>
      </c>
      <c r="I38" s="32">
        <v>0.3013888888888889</v>
      </c>
      <c r="J38" s="32" t="s">
        <v>38</v>
      </c>
      <c r="K38" s="32">
        <v>0.3423611111111111</v>
      </c>
      <c r="L38" s="32" t="s">
        <v>38</v>
      </c>
      <c r="M38" s="32" t="s">
        <v>38</v>
      </c>
      <c r="N38" s="32">
        <v>0.5402777777777777</v>
      </c>
      <c r="O38" s="31">
        <v>0.55</v>
      </c>
      <c r="P38" s="32">
        <v>0.55</v>
      </c>
      <c r="Q38" s="31">
        <v>0.5833333333333334</v>
      </c>
      <c r="R38" s="32">
        <v>0.5833333333333334</v>
      </c>
      <c r="S38" s="32">
        <v>0.5993055555555555</v>
      </c>
      <c r="T38" s="32">
        <v>0.6243055555555556</v>
      </c>
      <c r="U38" s="32" t="s">
        <v>38</v>
      </c>
      <c r="V38" s="32" t="s">
        <v>38</v>
      </c>
      <c r="W38" s="32">
        <v>0.7076388888888889</v>
      </c>
      <c r="X38" s="32">
        <v>0.7583333333333333</v>
      </c>
      <c r="Y38" s="32" t="s">
        <v>38</v>
      </c>
      <c r="Z38" s="32">
        <v>0.7909722222222222</v>
      </c>
      <c r="AA38" s="32" t="s">
        <v>38</v>
      </c>
    </row>
    <row r="39" spans="1:27" ht="9.75">
      <c r="A39" s="30" t="s">
        <v>69</v>
      </c>
      <c r="B39" s="32"/>
      <c r="C39" s="31">
        <v>0.2590277777777778</v>
      </c>
      <c r="D39" s="32">
        <v>0.2590277777777778</v>
      </c>
      <c r="E39" s="32" t="s">
        <v>38</v>
      </c>
      <c r="F39" s="32">
        <v>0.2722222222222222</v>
      </c>
      <c r="G39" s="32">
        <v>0.2722222222222222</v>
      </c>
      <c r="H39" s="42" t="s">
        <v>38</v>
      </c>
      <c r="I39" s="32">
        <v>0.30277777777777776</v>
      </c>
      <c r="J39" s="32">
        <v>0.3236111111111111</v>
      </c>
      <c r="K39" s="32">
        <v>0.3236111111111111</v>
      </c>
      <c r="L39" s="32">
        <v>0.49027777777777776</v>
      </c>
      <c r="M39" s="32">
        <v>0.49930555555555556</v>
      </c>
      <c r="N39" s="32">
        <v>0.5333333333333333</v>
      </c>
      <c r="O39" s="32">
        <v>0.5333333333333333</v>
      </c>
      <c r="P39" s="32" t="s">
        <v>38</v>
      </c>
      <c r="Q39" s="32">
        <v>0.5736111111111111</v>
      </c>
      <c r="R39" s="32">
        <v>0.5805555555555556</v>
      </c>
      <c r="S39" s="32" t="s">
        <v>38</v>
      </c>
      <c r="T39" s="32">
        <v>0.6152777777777778</v>
      </c>
      <c r="U39" s="32">
        <v>0.6569444444444444</v>
      </c>
      <c r="V39" s="32" t="s">
        <v>38</v>
      </c>
      <c r="W39" s="32">
        <v>0.7090277777777778</v>
      </c>
      <c r="X39" s="32">
        <v>0.7555555555555555</v>
      </c>
      <c r="Y39" s="31">
        <v>0.7819444444444444</v>
      </c>
      <c r="Z39" s="32">
        <v>0.7923611111111111</v>
      </c>
      <c r="AA39" s="32">
        <v>0.9569444444444445</v>
      </c>
    </row>
    <row r="40" spans="1:27" ht="9">
      <c r="A40" s="43"/>
      <c r="C40" s="7" t="s">
        <v>7</v>
      </c>
      <c r="D40" s="44"/>
      <c r="F40" s="7" t="s">
        <v>7</v>
      </c>
      <c r="H40" s="6"/>
      <c r="I40" s="44"/>
      <c r="J40" s="44"/>
      <c r="K40" s="7" t="s">
        <v>7</v>
      </c>
      <c r="L40" s="7" t="s">
        <v>7</v>
      </c>
      <c r="M40" s="44"/>
      <c r="N40" s="7" t="s">
        <v>7</v>
      </c>
      <c r="O40" s="44"/>
      <c r="P40" s="44"/>
      <c r="Q40" s="7" t="s">
        <v>7</v>
      </c>
      <c r="R40" s="7" t="s">
        <v>7</v>
      </c>
      <c r="S40" s="44"/>
      <c r="T40" s="44"/>
      <c r="U40" s="44"/>
      <c r="V40" s="44"/>
      <c r="W40" s="7" t="s">
        <v>7</v>
      </c>
      <c r="X40" s="7" t="s">
        <v>7</v>
      </c>
      <c r="Y40" s="44"/>
      <c r="Z40" s="44"/>
      <c r="AA40" s="45"/>
    </row>
    <row r="41" spans="1:27" ht="9.75">
      <c r="A41" s="43"/>
      <c r="C41" s="11" t="s">
        <v>9</v>
      </c>
      <c r="D41" s="11" t="s">
        <v>11</v>
      </c>
      <c r="E41" s="46" t="s">
        <v>70</v>
      </c>
      <c r="F41" s="11" t="s">
        <v>10</v>
      </c>
      <c r="G41" s="11" t="s">
        <v>10</v>
      </c>
      <c r="H41" s="11" t="s">
        <v>11</v>
      </c>
      <c r="I41" s="11" t="s">
        <v>9</v>
      </c>
      <c r="J41" s="11" t="s">
        <v>9</v>
      </c>
      <c r="K41" s="46" t="s">
        <v>10</v>
      </c>
      <c r="L41" s="11" t="s">
        <v>10</v>
      </c>
      <c r="M41" s="11" t="s">
        <v>11</v>
      </c>
      <c r="N41" s="11" t="s">
        <v>14</v>
      </c>
      <c r="O41" s="11" t="s">
        <v>10</v>
      </c>
      <c r="P41" s="11" t="s">
        <v>9</v>
      </c>
      <c r="Q41" s="11" t="s">
        <v>11</v>
      </c>
      <c r="R41" s="11" t="s">
        <v>9</v>
      </c>
      <c r="S41" s="11" t="s">
        <v>14</v>
      </c>
      <c r="T41" s="11" t="s">
        <v>71</v>
      </c>
      <c r="U41" s="12" t="s">
        <v>11</v>
      </c>
      <c r="V41" s="11" t="s">
        <v>71</v>
      </c>
      <c r="W41" s="11" t="s">
        <v>11</v>
      </c>
      <c r="X41" s="11" t="s">
        <v>9</v>
      </c>
      <c r="Y41" s="11" t="s">
        <v>10</v>
      </c>
      <c r="Z41" s="11" t="s">
        <v>9</v>
      </c>
      <c r="AA41" s="11" t="s">
        <v>71</v>
      </c>
    </row>
    <row r="42" spans="1:27" ht="36.75">
      <c r="A42" s="16" t="s">
        <v>16</v>
      </c>
      <c r="D42" s="47"/>
      <c r="G42" s="47" t="s">
        <v>55</v>
      </c>
      <c r="H42" s="48"/>
      <c r="I42" s="8" t="s">
        <v>72</v>
      </c>
      <c r="J42" s="16"/>
      <c r="K42" s="47" t="s">
        <v>73</v>
      </c>
      <c r="M42" s="16"/>
      <c r="O42" s="16"/>
      <c r="P42" s="8" t="s">
        <v>74</v>
      </c>
      <c r="Q42" s="16" t="s">
        <v>19</v>
      </c>
      <c r="S42" s="47" t="s">
        <v>48</v>
      </c>
      <c r="T42" s="8" t="s">
        <v>55</v>
      </c>
      <c r="U42" s="8"/>
      <c r="V42" s="47" t="s">
        <v>75</v>
      </c>
      <c r="W42" s="16" t="s">
        <v>19</v>
      </c>
      <c r="Y42" s="47" t="s">
        <v>48</v>
      </c>
      <c r="Z42" s="8" t="s">
        <v>72</v>
      </c>
      <c r="AA42" s="8" t="s">
        <v>76</v>
      </c>
    </row>
    <row r="43" spans="1:27" ht="9.75">
      <c r="A43" t="s">
        <v>77</v>
      </c>
      <c r="C43" s="18">
        <v>0.25625</v>
      </c>
      <c r="D43" s="6">
        <v>0.2604166666666667</v>
      </c>
      <c r="E43" s="6">
        <v>0.2708333333333333</v>
      </c>
      <c r="F43" s="18">
        <v>0.27708333333333335</v>
      </c>
      <c r="G43" s="18">
        <v>0.28125</v>
      </c>
      <c r="H43" s="6">
        <v>0.2916666666666667</v>
      </c>
      <c r="I43" s="18">
        <v>0.3125</v>
      </c>
      <c r="J43" s="6">
        <v>0.3333333333333333</v>
      </c>
      <c r="K43" s="49">
        <v>0.3458333333333333</v>
      </c>
      <c r="L43" s="18">
        <v>0.49930555555555556</v>
      </c>
      <c r="M43" s="6">
        <v>0.5104166666666666</v>
      </c>
      <c r="N43" s="18">
        <v>0.5409722222222222</v>
      </c>
      <c r="O43" s="6">
        <v>0.55</v>
      </c>
      <c r="P43" s="18">
        <v>0.5625</v>
      </c>
      <c r="Q43" s="6">
        <v>0.5819444444444445</v>
      </c>
      <c r="R43" s="18">
        <v>0.59375</v>
      </c>
      <c r="S43" s="18">
        <v>0.6</v>
      </c>
      <c r="T43" s="18">
        <v>0.625</v>
      </c>
      <c r="U43" s="8">
        <v>0.6597222222222222</v>
      </c>
      <c r="V43" s="18">
        <v>0.7013888888888888</v>
      </c>
      <c r="W43" s="6">
        <v>0.7194444444444444</v>
      </c>
      <c r="X43" s="18">
        <v>0.7604166666666666</v>
      </c>
      <c r="Y43" s="49">
        <v>0.7770833333333333</v>
      </c>
      <c r="Z43" s="49">
        <v>0.7930555555555555</v>
      </c>
      <c r="AA43" s="18">
        <v>0.9583333333333334</v>
      </c>
    </row>
    <row r="44" spans="1:27" ht="9.75">
      <c r="A44" t="s">
        <v>34</v>
      </c>
      <c r="C44" s="18">
        <v>0.25972222222222224</v>
      </c>
      <c r="D44" s="6">
        <v>0.2638888888888889</v>
      </c>
      <c r="E44" s="6">
        <v>0.27291666666666664</v>
      </c>
      <c r="F44" s="18">
        <v>0.28055555555555556</v>
      </c>
      <c r="G44" s="6">
        <v>0.2847222222222222</v>
      </c>
      <c r="H44" s="6">
        <v>0.29375</v>
      </c>
      <c r="I44" s="6">
        <v>0.3159722222222222</v>
      </c>
      <c r="J44" s="6">
        <v>0.3368055555555556</v>
      </c>
      <c r="K44" s="6">
        <v>0.34930555555555554</v>
      </c>
      <c r="L44" s="18">
        <v>0.5027777777777778</v>
      </c>
      <c r="M44" s="6">
        <v>0.5138888888888888</v>
      </c>
      <c r="N44" s="18">
        <v>0.5444444444444444</v>
      </c>
      <c r="O44" s="6">
        <v>0.5534722222222223</v>
      </c>
      <c r="P44" s="6">
        <v>0.5659722222222222</v>
      </c>
      <c r="Q44" s="6">
        <v>0.5833333333333334</v>
      </c>
      <c r="R44" s="18">
        <v>0.5972222222222222</v>
      </c>
      <c r="S44" s="6">
        <v>0.6027777777777777</v>
      </c>
      <c r="T44" s="18">
        <v>0.6277777777777778</v>
      </c>
      <c r="U44" s="8">
        <v>0.6631944444444444</v>
      </c>
      <c r="V44" s="6">
        <v>0.7048611111111112</v>
      </c>
      <c r="W44" s="6">
        <v>0.7208333333333333</v>
      </c>
      <c r="X44" s="18">
        <v>0.7638888888888888</v>
      </c>
      <c r="Y44" s="6">
        <v>0.7805555555555556</v>
      </c>
      <c r="Z44" s="6">
        <v>0.7951388888888888</v>
      </c>
      <c r="AA44" s="6">
        <v>0.9604166666666667</v>
      </c>
    </row>
    <row r="45" spans="3:27" ht="9">
      <c r="C45" s="18"/>
      <c r="D45" s="6"/>
      <c r="E45" s="6"/>
      <c r="F45" s="18"/>
      <c r="G45" s="6"/>
      <c r="H45" s="6"/>
      <c r="I45" s="6"/>
      <c r="J45" s="6"/>
      <c r="K45" s="6"/>
      <c r="L45" s="18"/>
      <c r="M45" s="6"/>
      <c r="N45" s="18"/>
      <c r="O45" s="6"/>
      <c r="Q45" s="6"/>
      <c r="R45" s="18"/>
      <c r="S45" s="6"/>
      <c r="U45" s="8"/>
      <c r="V45" s="6"/>
      <c r="W45" s="6"/>
      <c r="X45" s="18"/>
      <c r="Y45" s="6"/>
      <c r="Z45" s="6"/>
      <c r="AA45" s="6"/>
    </row>
    <row r="46" spans="1:27" ht="9">
      <c r="A46" t="s">
        <v>33</v>
      </c>
      <c r="C46" s="18"/>
      <c r="D46" s="6"/>
      <c r="E46" s="6"/>
      <c r="F46" s="18"/>
      <c r="G46" s="6"/>
      <c r="H46" s="6"/>
      <c r="I46" s="6"/>
      <c r="J46" s="6"/>
      <c r="K46" s="6"/>
      <c r="L46" s="18"/>
      <c r="M46" s="6"/>
      <c r="N46" s="18"/>
      <c r="O46" s="6"/>
      <c r="P46" s="6"/>
      <c r="Q46" s="6"/>
      <c r="R46" s="18"/>
      <c r="S46" s="6"/>
      <c r="T46" s="6"/>
      <c r="U46" s="8"/>
      <c r="V46" s="6"/>
      <c r="W46" s="6"/>
      <c r="X46" s="18"/>
      <c r="Y46" s="6"/>
      <c r="Z46" s="6"/>
      <c r="AA46" s="6"/>
    </row>
    <row r="47" spans="1:27" ht="9.75">
      <c r="A47" t="s">
        <v>32</v>
      </c>
      <c r="C47" s="18">
        <v>0.26319444444444445</v>
      </c>
      <c r="D47" s="6">
        <v>0.2673611111111111</v>
      </c>
      <c r="E47" s="6">
        <v>0.27708333333333335</v>
      </c>
      <c r="F47" s="18">
        <v>0.28402777777777777</v>
      </c>
      <c r="G47" s="6">
        <v>0.28680555555555554</v>
      </c>
      <c r="H47" s="18">
        <v>0.29583333333333334</v>
      </c>
      <c r="I47" s="6">
        <v>0.3194444444444444</v>
      </c>
      <c r="J47" s="6">
        <v>0.3402777777777778</v>
      </c>
      <c r="K47" s="6">
        <v>0.3527777777777778</v>
      </c>
      <c r="L47" s="18">
        <v>0.50625</v>
      </c>
      <c r="M47" s="6">
        <v>0.5173611111111112</v>
      </c>
      <c r="N47" s="18">
        <v>0.5479166666666667</v>
      </c>
      <c r="O47" s="18" t="s">
        <v>78</v>
      </c>
      <c r="P47" s="6">
        <v>0.5694444444444444</v>
      </c>
      <c r="Q47" s="6">
        <v>0.5868055555555556</v>
      </c>
      <c r="R47" s="18">
        <v>0.6006944444444444</v>
      </c>
      <c r="S47" s="6">
        <v>0.6097222222222223</v>
      </c>
      <c r="T47" s="6">
        <v>0.6291666666666667</v>
      </c>
      <c r="U47" s="8">
        <v>0.6666666666666666</v>
      </c>
      <c r="V47" s="6">
        <v>0.7083333333333334</v>
      </c>
      <c r="W47" s="6">
        <v>0.7243055555555555</v>
      </c>
      <c r="X47" s="18">
        <v>0.7673611111111112</v>
      </c>
      <c r="Y47" s="6">
        <v>0.7840277777777778</v>
      </c>
      <c r="Z47" s="6">
        <v>0.7986111111111112</v>
      </c>
      <c r="AA47" s="6">
        <v>0.9625</v>
      </c>
    </row>
    <row r="48" spans="1:25" ht="9">
      <c r="A48" t="s">
        <v>79</v>
      </c>
      <c r="C48" s="50"/>
      <c r="F48" s="50"/>
      <c r="G48" s="6"/>
      <c r="H48" s="18"/>
      <c r="I48" s="6"/>
      <c r="J48" s="6"/>
      <c r="K48" s="6"/>
      <c r="L48" s="50"/>
      <c r="M48" s="6"/>
      <c r="N48" s="50"/>
      <c r="O48" s="18"/>
      <c r="P48" s="6"/>
      <c r="Q48" s="6"/>
      <c r="R48" s="50"/>
      <c r="S48" s="6"/>
      <c r="T48" s="6"/>
      <c r="U48" s="8"/>
      <c r="W48" s="6"/>
      <c r="X48" s="50"/>
      <c r="Y48" s="6"/>
    </row>
    <row r="49" spans="1:27" ht="9.75">
      <c r="A49" t="s">
        <v>30</v>
      </c>
      <c r="C49" s="18">
        <v>0.26458333333333334</v>
      </c>
      <c r="D49" s="6">
        <v>0.26875</v>
      </c>
      <c r="E49" s="6">
        <v>0.2791666666666667</v>
      </c>
      <c r="F49" s="18">
        <v>0.28541666666666665</v>
      </c>
      <c r="G49" s="6">
        <v>0.2881944444444444</v>
      </c>
      <c r="H49" s="18">
        <v>0.2965277777777778</v>
      </c>
      <c r="I49" s="6">
        <v>0.32083333333333336</v>
      </c>
      <c r="J49" s="6">
        <v>0.3416666666666667</v>
      </c>
      <c r="K49" s="6">
        <v>0.3541666666666667</v>
      </c>
      <c r="L49" s="18">
        <v>0.5076388888888889</v>
      </c>
      <c r="M49" s="6">
        <v>0.51875</v>
      </c>
      <c r="N49" s="18">
        <v>0.5493055555555556</v>
      </c>
      <c r="O49" s="18" t="s">
        <v>78</v>
      </c>
      <c r="P49" s="6">
        <v>0.5708333333333333</v>
      </c>
      <c r="Q49" s="6">
        <v>0.5881944444444445</v>
      </c>
      <c r="R49" s="18">
        <v>0.6020833333333333</v>
      </c>
      <c r="S49" s="6">
        <v>0.6111111111111112</v>
      </c>
      <c r="T49" s="6">
        <v>0.6305555555555555</v>
      </c>
      <c r="U49" s="8">
        <v>0.6680555555555555</v>
      </c>
      <c r="V49" s="6">
        <v>0.7097222222222223</v>
      </c>
      <c r="W49" s="6">
        <v>0.7256944444444444</v>
      </c>
      <c r="X49" s="18">
        <v>0.76875</v>
      </c>
      <c r="Y49" s="6">
        <v>0.7854166666666667</v>
      </c>
      <c r="Z49" s="6">
        <v>0.8</v>
      </c>
      <c r="AA49" s="6">
        <v>0.9638888888888889</v>
      </c>
    </row>
    <row r="50" spans="1:27" ht="9.75">
      <c r="A50" t="s">
        <v>26</v>
      </c>
      <c r="C50" s="18">
        <v>0.26666666666666666</v>
      </c>
      <c r="D50" s="6">
        <v>0.2708333333333333</v>
      </c>
      <c r="E50" s="6">
        <v>0.28194444444444444</v>
      </c>
      <c r="F50" s="18">
        <v>0.2875</v>
      </c>
      <c r="G50" s="6">
        <v>0.2902777777777778</v>
      </c>
      <c r="H50" s="18">
        <v>0.2986111111111111</v>
      </c>
      <c r="I50" s="6">
        <v>0.3215277777777778</v>
      </c>
      <c r="J50" s="6"/>
      <c r="K50" s="6">
        <v>0.3548611111111111</v>
      </c>
      <c r="L50" s="18">
        <v>0.5097222222222222</v>
      </c>
      <c r="M50" s="6">
        <v>0.5208333333333334</v>
      </c>
      <c r="N50" s="18">
        <v>0.5513888888888889</v>
      </c>
      <c r="O50" s="6">
        <v>0.5590277777777778</v>
      </c>
      <c r="P50" s="6">
        <v>0.5729166666666666</v>
      </c>
      <c r="Q50" s="6">
        <v>0.5888888888888889</v>
      </c>
      <c r="R50" s="18">
        <v>0.6034722222222222</v>
      </c>
      <c r="S50" s="6">
        <v>0.6118055555555556</v>
      </c>
      <c r="T50" s="6">
        <v>0.6326388888888889</v>
      </c>
      <c r="U50" s="8">
        <v>0.6701388888888888</v>
      </c>
      <c r="V50" s="6">
        <v>0.7118055555555556</v>
      </c>
      <c r="W50" s="6">
        <v>0.7270833333333333</v>
      </c>
      <c r="X50" s="18">
        <v>0.7701388888888889</v>
      </c>
      <c r="Y50" s="6">
        <v>0.7868055555555555</v>
      </c>
      <c r="Z50" s="6">
        <v>0.8020833333333334</v>
      </c>
      <c r="AA50" s="6">
        <v>0.9659722222222222</v>
      </c>
    </row>
    <row r="51" spans="1:27" s="26" customFormat="1" ht="9.75">
      <c r="A51" s="26" t="s">
        <v>27</v>
      </c>
      <c r="B51"/>
      <c r="C51" s="24"/>
      <c r="D51" s="24">
        <v>0.27152777777777776</v>
      </c>
      <c r="E51" s="18">
        <v>0.2826388888888889</v>
      </c>
      <c r="F51"/>
      <c r="G51" s="24">
        <v>0.29097222222222224</v>
      </c>
      <c r="H51" s="18">
        <v>0.30069444444444443</v>
      </c>
      <c r="I51" s="24">
        <v>0.32222222222222224</v>
      </c>
      <c r="J51" s="24">
        <v>0.34375</v>
      </c>
      <c r="K51" s="24"/>
      <c r="L51" s="24"/>
      <c r="M51" s="24">
        <v>0.5215277777777778</v>
      </c>
      <c r="N51"/>
      <c r="O51" s="24"/>
      <c r="P51" s="24">
        <v>0.5736111111111111</v>
      </c>
      <c r="Q51" s="24"/>
      <c r="R51" s="24"/>
      <c r="S51" s="24"/>
      <c r="T51" s="24">
        <v>0.6333333333333333</v>
      </c>
      <c r="U51" s="25"/>
      <c r="V51" s="24">
        <v>0.7125</v>
      </c>
      <c r="W51"/>
      <c r="X51" s="24"/>
      <c r="Y51"/>
      <c r="Z51" s="24">
        <v>0.8027777777777778</v>
      </c>
      <c r="AA51" s="24">
        <v>0.9666666666666667</v>
      </c>
    </row>
    <row r="52" spans="1:27" ht="9.75">
      <c r="A52" t="s">
        <v>26</v>
      </c>
      <c r="C52" s="6"/>
      <c r="D52" s="6">
        <v>0.2722222222222222</v>
      </c>
      <c r="E52" s="6"/>
      <c r="G52" s="6">
        <v>0.2923611111111111</v>
      </c>
      <c r="H52" s="18">
        <v>0.3013888888888889</v>
      </c>
      <c r="I52" s="6">
        <v>0.3229166666666667</v>
      </c>
      <c r="J52" s="6"/>
      <c r="K52" s="6"/>
      <c r="L52" s="6"/>
      <c r="M52" s="6">
        <v>0.5222222222222223</v>
      </c>
      <c r="O52" s="6"/>
      <c r="P52" s="6">
        <v>0.5743055555555555</v>
      </c>
      <c r="Q52" s="6"/>
      <c r="R52" s="6"/>
      <c r="S52" s="6"/>
      <c r="T52" s="6">
        <v>0.6340277777777777</v>
      </c>
      <c r="U52" s="8"/>
      <c r="V52" s="6">
        <v>0.7131944444444445</v>
      </c>
      <c r="X52" s="6"/>
      <c r="Z52" s="6">
        <v>0.8034722222222223</v>
      </c>
      <c r="AA52" s="6">
        <v>0.9673611111111111</v>
      </c>
    </row>
    <row r="53" spans="1:27" ht="9.75">
      <c r="A53" t="s">
        <v>29</v>
      </c>
      <c r="C53" s="6"/>
      <c r="D53" s="6"/>
      <c r="E53" s="18">
        <v>0.2861111111111111</v>
      </c>
      <c r="G53" s="6"/>
      <c r="H53" s="18" t="s">
        <v>80</v>
      </c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8"/>
      <c r="V53" s="6"/>
      <c r="X53" s="6"/>
      <c r="Z53" s="6"/>
      <c r="AA53" s="6"/>
    </row>
    <row r="54" spans="1:27" ht="9.75">
      <c r="A54" t="s">
        <v>25</v>
      </c>
      <c r="C54" s="6"/>
      <c r="D54" s="6">
        <v>0.27361111111111114</v>
      </c>
      <c r="E54" s="6">
        <v>0.29375</v>
      </c>
      <c r="G54" s="6">
        <v>0.29375</v>
      </c>
      <c r="H54" s="18">
        <v>0.30277777777777776</v>
      </c>
      <c r="I54" s="6">
        <v>0.32430555555555557</v>
      </c>
      <c r="J54" s="6">
        <v>0.3472222222222222</v>
      </c>
      <c r="K54" s="6"/>
      <c r="L54" s="6"/>
      <c r="M54" s="6">
        <v>0.5236111111111111</v>
      </c>
      <c r="O54" s="6">
        <v>0.5666666666666667</v>
      </c>
      <c r="P54" s="6">
        <v>0.5756944444444444</v>
      </c>
      <c r="Q54" s="6"/>
      <c r="R54" s="6"/>
      <c r="S54" s="6"/>
      <c r="T54" s="6">
        <v>0.6361111111111111</v>
      </c>
      <c r="U54" s="8">
        <v>0.6736111111111112</v>
      </c>
      <c r="V54" s="6">
        <v>0.7145833333333333</v>
      </c>
      <c r="X54" s="6"/>
      <c r="Z54" s="6">
        <v>0.8055555555555556</v>
      </c>
      <c r="AA54" s="6">
        <v>0.9694444444444444</v>
      </c>
    </row>
    <row r="55" spans="1:27" ht="9.75">
      <c r="A55" t="s">
        <v>23</v>
      </c>
      <c r="C55" s="6"/>
      <c r="D55" s="6"/>
      <c r="E55" s="6">
        <v>0.29791666666666666</v>
      </c>
      <c r="G55" s="6"/>
      <c r="H55" s="6"/>
      <c r="I55" s="6"/>
      <c r="J55" s="18" t="s">
        <v>24</v>
      </c>
      <c r="K55" s="6"/>
      <c r="L55" s="6"/>
      <c r="M55" s="6"/>
      <c r="O55" s="18" t="s">
        <v>24</v>
      </c>
      <c r="P55" s="6"/>
      <c r="Q55" s="6"/>
      <c r="R55" s="6"/>
      <c r="S55" s="6"/>
      <c r="T55" s="6"/>
      <c r="U55" s="8" t="s">
        <v>24</v>
      </c>
      <c r="V55" s="6"/>
      <c r="X55" s="6"/>
      <c r="Z55" s="6"/>
      <c r="AA55" s="6"/>
    </row>
    <row r="56" spans="1:27" ht="9.75">
      <c r="A56" t="s">
        <v>22</v>
      </c>
      <c r="D56" s="6"/>
      <c r="E56" s="6">
        <v>0.30416666666666664</v>
      </c>
      <c r="G56" s="6"/>
      <c r="H56" s="6">
        <v>0.31180555555555556</v>
      </c>
      <c r="I56" s="6"/>
      <c r="J56" s="6">
        <v>0.3548611111111111</v>
      </c>
      <c r="L56" s="6"/>
      <c r="M56" s="6"/>
      <c r="O56" s="6">
        <v>0.5756944444444444</v>
      </c>
      <c r="P56" s="6"/>
      <c r="Q56" s="6"/>
      <c r="R56" s="6"/>
      <c r="S56" s="6"/>
      <c r="T56" s="6"/>
      <c r="U56" s="8">
        <v>0.68125</v>
      </c>
      <c r="V56" s="6"/>
      <c r="X56" s="6"/>
      <c r="Z56" s="6"/>
      <c r="AA56" s="6"/>
    </row>
    <row r="57" ht="9">
      <c r="U57" s="8"/>
    </row>
    <row r="58" spans="1:27" ht="9.75">
      <c r="A58" s="16" t="s">
        <v>81</v>
      </c>
      <c r="D58" s="47" t="s">
        <v>17</v>
      </c>
      <c r="E58" s="47" t="s">
        <v>18</v>
      </c>
      <c r="G58" s="47" t="s">
        <v>17</v>
      </c>
      <c r="H58" s="48" t="s">
        <v>18</v>
      </c>
      <c r="I58" s="47" t="s">
        <v>17</v>
      </c>
      <c r="J58" s="47" t="s">
        <v>18</v>
      </c>
      <c r="L58" s="47"/>
      <c r="M58" s="47" t="s">
        <v>17</v>
      </c>
      <c r="O58" s="47" t="s">
        <v>18</v>
      </c>
      <c r="P58" s="47" t="s">
        <v>17</v>
      </c>
      <c r="Q58" s="47"/>
      <c r="R58" s="47"/>
      <c r="S58" s="47"/>
      <c r="T58" s="47" t="s">
        <v>17</v>
      </c>
      <c r="U58" s="8" t="s">
        <v>18</v>
      </c>
      <c r="V58" s="47" t="s">
        <v>82</v>
      </c>
      <c r="X58" s="47"/>
      <c r="Z58" s="47" t="s">
        <v>17</v>
      </c>
      <c r="AA58" s="47" t="s">
        <v>17</v>
      </c>
    </row>
    <row r="59" spans="3:21" ht="9.75">
      <c r="C59" s="51" t="s">
        <v>83</v>
      </c>
      <c r="F59" s="51" t="s">
        <v>83</v>
      </c>
      <c r="H59" s="6"/>
      <c r="K59" s="52"/>
      <c r="L59" s="51" t="s">
        <v>83</v>
      </c>
      <c r="N59" s="51" t="s">
        <v>83</v>
      </c>
      <c r="S59" t="s">
        <v>84</v>
      </c>
      <c r="U59" s="8"/>
    </row>
    <row r="60" spans="1:21" ht="9.75">
      <c r="A60" t="s">
        <v>85</v>
      </c>
      <c r="C60">
        <v>56</v>
      </c>
      <c r="F60" t="s">
        <v>48</v>
      </c>
      <c r="H60" s="6"/>
      <c r="K60" t="s">
        <v>21</v>
      </c>
      <c r="L60" t="s">
        <v>21</v>
      </c>
      <c r="U60" s="8"/>
    </row>
    <row r="61" ht="9">
      <c r="U61" s="8"/>
    </row>
    <row r="62" spans="1:30" ht="9.75">
      <c r="A62" s="16" t="s">
        <v>60</v>
      </c>
      <c r="C62" s="40">
        <f>8.7*277</f>
        <v>2409.8999999999996</v>
      </c>
      <c r="D62" s="40">
        <f>42.2*207</f>
        <v>8735.400000000001</v>
      </c>
      <c r="E62" s="40">
        <f>47.8*219</f>
        <v>10468.199999999999</v>
      </c>
      <c r="F62" s="40">
        <f>8.7*277</f>
        <v>2409.8999999999996</v>
      </c>
      <c r="G62" s="40">
        <f>74.1*277</f>
        <v>20525.699999999997</v>
      </c>
      <c r="H62" s="9">
        <f>33.7*207</f>
        <v>6975.900000000001</v>
      </c>
      <c r="I62" s="40">
        <f>74*302</f>
        <v>22348</v>
      </c>
      <c r="J62" s="40">
        <f>36.1*302</f>
        <v>10902.2</v>
      </c>
      <c r="K62" s="40">
        <f>8.7*277</f>
        <v>2409.8999999999996</v>
      </c>
      <c r="L62" s="40">
        <f>8.7*277</f>
        <v>2409.8999999999996</v>
      </c>
      <c r="N62" s="40">
        <f>8.7*277</f>
        <v>2409.8999999999996</v>
      </c>
      <c r="O62" s="40">
        <f>36.1*277</f>
        <v>9999.7</v>
      </c>
      <c r="P62" s="40">
        <f>74*302</f>
        <v>22348</v>
      </c>
      <c r="Q62" s="40">
        <f>8.7*277</f>
        <v>2409.8999999999996</v>
      </c>
      <c r="R62" s="40">
        <f>8.7*277</f>
        <v>2409.8999999999996</v>
      </c>
      <c r="S62" s="40">
        <f>8.7*277</f>
        <v>2409.8999999999996</v>
      </c>
      <c r="T62" s="40">
        <f>74*231</f>
        <v>17094</v>
      </c>
      <c r="U62" s="8">
        <f>207*33.3</f>
        <v>6893.099999999999</v>
      </c>
      <c r="V62" s="40">
        <f>8.7*277</f>
        <v>2409.8999999999996</v>
      </c>
      <c r="W62" s="40">
        <f>8.7*277</f>
        <v>2409.8999999999996</v>
      </c>
      <c r="X62" s="40">
        <f>8.7*277</f>
        <v>2409.8999999999996</v>
      </c>
      <c r="Y62" s="40">
        <f>8.7*277</f>
        <v>2409.8999999999996</v>
      </c>
      <c r="Z62" s="40">
        <f>74*302</f>
        <v>22348</v>
      </c>
      <c r="AA62" s="40">
        <f>74*231</f>
        <v>17094</v>
      </c>
      <c r="AD62" s="40">
        <f>SUM(B62:AB62)</f>
        <v>204650.99999999994</v>
      </c>
    </row>
    <row r="63" spans="1:30" ht="9.75">
      <c r="A63" s="16" t="s">
        <v>61</v>
      </c>
      <c r="C63" s="40">
        <f>C62</f>
        <v>2409.8999999999996</v>
      </c>
      <c r="D63">
        <v>0</v>
      </c>
      <c r="E63">
        <v>0</v>
      </c>
      <c r="F63" s="40">
        <f>F62</f>
        <v>2409.8999999999996</v>
      </c>
      <c r="G63" s="40">
        <f>2.8*277</f>
        <v>775.5999999999999</v>
      </c>
      <c r="H63" s="9">
        <v>0</v>
      </c>
      <c r="I63" s="40">
        <f>(-31.8+2.8)*302</f>
        <v>-8758</v>
      </c>
      <c r="J63" s="40">
        <f>302*1.8</f>
        <v>543.6</v>
      </c>
      <c r="K63" s="40">
        <f>K62</f>
        <v>2409.8999999999996</v>
      </c>
      <c r="L63" s="40">
        <f>L62</f>
        <v>2409.8999999999996</v>
      </c>
      <c r="M63">
        <v>0</v>
      </c>
      <c r="N63" s="40">
        <f>N62</f>
        <v>2409.8999999999996</v>
      </c>
      <c r="O63" s="40">
        <f>277*1.8</f>
        <v>498.6</v>
      </c>
      <c r="P63" s="40">
        <f>(-31.8+2.8)*302</f>
        <v>-8758</v>
      </c>
      <c r="Q63" s="40">
        <f>Q62</f>
        <v>2409.8999999999996</v>
      </c>
      <c r="R63" s="40">
        <f>R62</f>
        <v>2409.8999999999996</v>
      </c>
      <c r="S63" s="40">
        <f>S62</f>
        <v>2409.8999999999996</v>
      </c>
      <c r="T63" s="40">
        <f>(-31.8+2.8)*231</f>
        <v>-6699</v>
      </c>
      <c r="U63" s="8">
        <f>207*1.8</f>
        <v>372.6</v>
      </c>
      <c r="V63" s="40">
        <f>V62</f>
        <v>2409.8999999999996</v>
      </c>
      <c r="W63" s="40">
        <f>W62</f>
        <v>2409.8999999999996</v>
      </c>
      <c r="X63" s="40">
        <f>X62</f>
        <v>2409.8999999999996</v>
      </c>
      <c r="Y63" s="40">
        <f>Y62</f>
        <v>2409.8999999999996</v>
      </c>
      <c r="Z63" s="40">
        <f>(-31.8+2.8)*302</f>
        <v>-8758</v>
      </c>
      <c r="AA63" s="40">
        <f>(-31.8+2.8)*231</f>
        <v>-6699</v>
      </c>
      <c r="AD63" s="40">
        <f>SUM(B63:AB63)</f>
        <v>-8562.800000000003</v>
      </c>
    </row>
    <row r="64" spans="1:27" ht="63.75">
      <c r="A64" s="16" t="s">
        <v>62</v>
      </c>
      <c r="E64" t="s">
        <v>86</v>
      </c>
      <c r="G64" s="52" t="s">
        <v>87</v>
      </c>
      <c r="J64" t="s">
        <v>88</v>
      </c>
      <c r="K64" t="s">
        <v>89</v>
      </c>
      <c r="O64" t="s">
        <v>88</v>
      </c>
      <c r="T64" t="s">
        <v>90</v>
      </c>
      <c r="U64" s="8" t="s">
        <v>88</v>
      </c>
      <c r="AA64" t="s">
        <v>90</v>
      </c>
    </row>
    <row r="68" spans="1:2" s="3" customFormat="1" ht="19.5">
      <c r="A68" s="1" t="s">
        <v>91</v>
      </c>
      <c r="B68" s="2" t="s">
        <v>1</v>
      </c>
    </row>
    <row r="69" spans="1:13" ht="9.75">
      <c r="A69" s="48" t="s">
        <v>92</v>
      </c>
      <c r="B69" s="48"/>
      <c r="D69" s="6"/>
      <c r="E69" s="6"/>
      <c r="F69" s="6"/>
      <c r="G69" s="20" t="s">
        <v>93</v>
      </c>
      <c r="H69" s="6"/>
      <c r="I69" s="20"/>
      <c r="J69" s="20" t="s">
        <v>93</v>
      </c>
      <c r="K69" s="20"/>
      <c r="L69" s="20"/>
      <c r="M69" s="20"/>
    </row>
    <row r="70" spans="1:13" ht="72.75">
      <c r="A70" s="48" t="s">
        <v>94</v>
      </c>
      <c r="C70" s="6" t="s">
        <v>95</v>
      </c>
      <c r="D70" s="5" t="s">
        <v>96</v>
      </c>
      <c r="E70" s="6" t="s">
        <v>97</v>
      </c>
      <c r="F70" s="6" t="s">
        <v>98</v>
      </c>
      <c r="G70" s="6" t="s">
        <v>99</v>
      </c>
      <c r="H70" s="6" t="s">
        <v>100</v>
      </c>
      <c r="I70" s="20"/>
      <c r="J70" s="6" t="s">
        <v>101</v>
      </c>
      <c r="K70" s="6" t="s">
        <v>100</v>
      </c>
      <c r="L70" s="6" t="s">
        <v>101</v>
      </c>
      <c r="M70" s="20"/>
    </row>
    <row r="71" spans="1:13" ht="9.75">
      <c r="A71" s="48" t="s">
        <v>102</v>
      </c>
      <c r="B71" s="48"/>
      <c r="C71" s="6"/>
      <c r="D71" s="5"/>
      <c r="E71" s="6"/>
      <c r="F71" s="20"/>
      <c r="G71" s="6"/>
      <c r="H71" s="6"/>
      <c r="I71" s="20"/>
      <c r="J71" s="6"/>
      <c r="K71" s="6"/>
      <c r="L71" s="6"/>
      <c r="M71" s="20"/>
    </row>
    <row r="72" spans="1:13" ht="9.75">
      <c r="A72" s="10" t="s">
        <v>103</v>
      </c>
      <c r="B72" s="11" t="s">
        <v>13</v>
      </c>
      <c r="C72" s="11" t="s">
        <v>8</v>
      </c>
      <c r="D72" s="12" t="s">
        <v>8</v>
      </c>
      <c r="E72" s="11" t="s">
        <v>12</v>
      </c>
      <c r="F72" s="46" t="s">
        <v>13</v>
      </c>
      <c r="G72" s="11" t="s">
        <v>8</v>
      </c>
      <c r="H72" s="11" t="s">
        <v>13</v>
      </c>
      <c r="I72" s="11"/>
      <c r="J72" s="11" t="s">
        <v>13</v>
      </c>
      <c r="K72" s="11" t="s">
        <v>13</v>
      </c>
      <c r="L72" s="11" t="s">
        <v>13</v>
      </c>
      <c r="M72" s="11"/>
    </row>
    <row r="73" spans="1:13" ht="9.75">
      <c r="A73" s="17"/>
      <c r="B73" s="14" t="s">
        <v>104</v>
      </c>
      <c r="C73" s="15" t="s">
        <v>18</v>
      </c>
      <c r="D73" s="5" t="s">
        <v>18</v>
      </c>
      <c r="E73" s="15" t="s">
        <v>18</v>
      </c>
      <c r="F73" s="14" t="s">
        <v>104</v>
      </c>
      <c r="G73" s="15" t="s">
        <v>18</v>
      </c>
      <c r="H73" s="15" t="s">
        <v>18</v>
      </c>
      <c r="I73" s="14"/>
      <c r="J73" s="15" t="s">
        <v>18</v>
      </c>
      <c r="K73" s="15" t="s">
        <v>18</v>
      </c>
      <c r="L73" s="15" t="s">
        <v>18</v>
      </c>
      <c r="M73" s="14"/>
    </row>
    <row r="74" spans="1:13" ht="9.75">
      <c r="A74" s="17" t="s">
        <v>22</v>
      </c>
      <c r="B74" s="6">
        <v>0.20069444444444443</v>
      </c>
      <c r="C74" s="6">
        <v>0.2277777777777778</v>
      </c>
      <c r="D74" s="5">
        <v>0.23055555555555557</v>
      </c>
      <c r="E74" s="6">
        <v>0.30694444444444446</v>
      </c>
      <c r="F74" s="6">
        <v>0.5333333333333333</v>
      </c>
      <c r="G74" s="6">
        <v>0.5395833333333333</v>
      </c>
      <c r="H74" s="6">
        <v>0.5611111111111111</v>
      </c>
      <c r="I74" s="6"/>
      <c r="J74" s="6">
        <v>0.8555555555555556</v>
      </c>
      <c r="K74" s="6">
        <v>0.8944444444444445</v>
      </c>
      <c r="L74" s="6">
        <v>0.9284722222222221</v>
      </c>
      <c r="M74" s="6"/>
    </row>
    <row r="75" spans="1:13" ht="18.75">
      <c r="A75" s="19" t="s">
        <v>31</v>
      </c>
      <c r="B75" s="6"/>
      <c r="C75" s="6">
        <v>0.2326388888888889</v>
      </c>
      <c r="D75" s="5">
        <v>0.2326388888888889</v>
      </c>
      <c r="E75" s="6">
        <v>0.3138888888888889</v>
      </c>
      <c r="F75" s="6"/>
      <c r="G75" s="6">
        <v>0.5451388888888888</v>
      </c>
      <c r="H75" s="6">
        <v>0.5659722222222222</v>
      </c>
      <c r="I75" s="6"/>
      <c r="J75" s="6">
        <v>0.8611111111111112</v>
      </c>
      <c r="K75" s="6">
        <v>0.8993055555555556</v>
      </c>
      <c r="L75" s="6">
        <v>0.9340277777777778</v>
      </c>
      <c r="M75" s="6"/>
    </row>
    <row r="76" spans="1:13" ht="9.75">
      <c r="A76" s="19" t="s">
        <v>32</v>
      </c>
      <c r="B76" s="6"/>
      <c r="C76" s="6" t="s">
        <v>28</v>
      </c>
      <c r="D76" s="5" t="s">
        <v>28</v>
      </c>
      <c r="E76" s="6" t="s">
        <v>28</v>
      </c>
      <c r="F76" s="6"/>
      <c r="G76" s="6" t="s">
        <v>28</v>
      </c>
      <c r="H76" s="6" t="s">
        <v>28</v>
      </c>
      <c r="I76" s="6"/>
      <c r="J76" s="6" t="s">
        <v>28</v>
      </c>
      <c r="K76" s="6" t="s">
        <v>28</v>
      </c>
      <c r="L76" s="6" t="s">
        <v>28</v>
      </c>
      <c r="M76" s="6"/>
    </row>
    <row r="77" spans="1:13" ht="9.75">
      <c r="A77" s="19" t="s">
        <v>33</v>
      </c>
      <c r="B77" s="6">
        <v>0.20694444444444443</v>
      </c>
      <c r="C77" s="6">
        <v>0.23333333333333334</v>
      </c>
      <c r="D77" s="5">
        <v>0.23333333333333334</v>
      </c>
      <c r="E77" s="6">
        <v>0.31527777777777777</v>
      </c>
      <c r="F77" s="6">
        <v>0.5402777777777777</v>
      </c>
      <c r="G77" s="6">
        <v>0.5458333333333333</v>
      </c>
      <c r="H77" s="6">
        <v>0.5666666666666667</v>
      </c>
      <c r="I77" s="6"/>
      <c r="J77" s="6">
        <v>0.8618055555555556</v>
      </c>
      <c r="K77" s="6">
        <v>0.9</v>
      </c>
      <c r="L77" s="6">
        <v>0.9347222222222222</v>
      </c>
      <c r="M77" s="6"/>
    </row>
    <row r="78" spans="1:13" ht="9">
      <c r="A78" s="19"/>
      <c r="B78" s="6"/>
      <c r="C78" s="6"/>
      <c r="D78" s="5"/>
      <c r="E78" s="6"/>
      <c r="F78" s="6"/>
      <c r="G78" s="6"/>
      <c r="H78" s="6"/>
      <c r="I78" s="6"/>
      <c r="J78" s="6"/>
      <c r="K78" s="6"/>
      <c r="L78" s="6"/>
      <c r="M78" s="6"/>
    </row>
    <row r="79" spans="1:13" ht="9.75">
      <c r="A79" s="19" t="s">
        <v>34</v>
      </c>
      <c r="B79" s="6">
        <v>0.20972222222222223</v>
      </c>
      <c r="C79" s="27">
        <v>0.23680555555555557</v>
      </c>
      <c r="D79" s="5"/>
      <c r="E79" s="27">
        <v>0.31875000000000003</v>
      </c>
      <c r="F79" s="6">
        <v>0.5430555555555555</v>
      </c>
      <c r="G79" s="27">
        <v>0.5458333333333333</v>
      </c>
      <c r="H79" s="27">
        <v>0.5701388888888889</v>
      </c>
      <c r="I79" s="6"/>
      <c r="J79" s="27">
        <v>0.8618055555555556</v>
      </c>
      <c r="K79" s="27">
        <v>0.9034722222222222</v>
      </c>
      <c r="L79" s="27">
        <v>0.9347222222222222</v>
      </c>
      <c r="M79" s="6"/>
    </row>
    <row r="80" spans="1:13" ht="18.75">
      <c r="A80" s="19" t="s">
        <v>35</v>
      </c>
      <c r="B80" s="6" t="s">
        <v>28</v>
      </c>
      <c r="C80" s="27">
        <v>0.23958333333333334</v>
      </c>
      <c r="D80" s="5"/>
      <c r="E80" s="27">
        <v>0.32222222222222224</v>
      </c>
      <c r="F80" s="27">
        <v>0.5465277777777777</v>
      </c>
      <c r="G80" s="27">
        <v>0.5493055555555555</v>
      </c>
      <c r="H80" s="27">
        <v>0.5736111111111111</v>
      </c>
      <c r="I80" s="6"/>
      <c r="J80" s="27">
        <v>0.8652777777777778</v>
      </c>
      <c r="K80" s="27">
        <v>0.9069444444444444</v>
      </c>
      <c r="L80" s="27">
        <v>0.9381944444444444</v>
      </c>
      <c r="M80" s="6"/>
    </row>
    <row r="81" spans="1:13" ht="9.75">
      <c r="A81" s="30" t="s">
        <v>105</v>
      </c>
      <c r="B81" s="32" t="s">
        <v>38</v>
      </c>
      <c r="C81" s="32">
        <v>0.24027777777777778</v>
      </c>
      <c r="D81" s="34">
        <v>0.24027777777777778</v>
      </c>
      <c r="E81" s="32">
        <v>0.3027777777777778</v>
      </c>
      <c r="F81" s="32">
        <v>0.5333333333333333</v>
      </c>
      <c r="G81" s="32">
        <v>0.5333333333333333</v>
      </c>
      <c r="H81" s="32">
        <v>0.5736111111111111</v>
      </c>
      <c r="I81" s="36"/>
      <c r="J81" s="32">
        <v>0.8548611111111112</v>
      </c>
      <c r="K81" s="32">
        <v>0.9069444444444444</v>
      </c>
      <c r="L81" s="32" t="s">
        <v>38</v>
      </c>
      <c r="M81" s="36"/>
    </row>
    <row r="82" spans="1:13" ht="9.75">
      <c r="A82" s="30" t="s">
        <v>106</v>
      </c>
      <c r="B82" s="32" t="s">
        <v>38</v>
      </c>
      <c r="C82" s="32" t="s">
        <v>38</v>
      </c>
      <c r="D82" s="34" t="s">
        <v>38</v>
      </c>
      <c r="E82" s="32">
        <v>0.30138888888888893</v>
      </c>
      <c r="F82" s="32">
        <v>0.5499999999999999</v>
      </c>
      <c r="G82" s="32">
        <v>0.5499999999999999</v>
      </c>
      <c r="H82" s="32" t="s">
        <v>38</v>
      </c>
      <c r="I82" s="36"/>
      <c r="J82" s="32">
        <v>0.8416666666666667</v>
      </c>
      <c r="K82" s="32" t="s">
        <v>38</v>
      </c>
      <c r="L82" s="32">
        <v>0.9263888888888888</v>
      </c>
      <c r="M82" s="36"/>
    </row>
    <row r="83" spans="1:13" ht="9.75">
      <c r="A83" s="30" t="s">
        <v>107</v>
      </c>
      <c r="B83" s="32" t="s">
        <v>38</v>
      </c>
      <c r="C83" s="32">
        <v>0.24930555555555556</v>
      </c>
      <c r="D83" s="34">
        <v>0.24930555555555556</v>
      </c>
      <c r="E83" s="32">
        <v>0.3180555555555556</v>
      </c>
      <c r="F83" s="32">
        <v>0.5499999999999999</v>
      </c>
      <c r="G83" s="32">
        <v>0.5499999999999999</v>
      </c>
      <c r="H83" s="32">
        <v>0.5833333333333334</v>
      </c>
      <c r="I83" s="36"/>
      <c r="J83" s="32">
        <v>0.8736111111111111</v>
      </c>
      <c r="K83" s="32">
        <v>0.9263888888888888</v>
      </c>
      <c r="L83" s="32" t="s">
        <v>38</v>
      </c>
      <c r="M83" s="36"/>
    </row>
    <row r="84" spans="1:13" ht="9.75">
      <c r="A84" s="30" t="s">
        <v>108</v>
      </c>
      <c r="B84" s="32" t="s">
        <v>38</v>
      </c>
      <c r="C84" s="32">
        <v>0.24027777777777778</v>
      </c>
      <c r="D84" s="34">
        <v>0.24027777777777778</v>
      </c>
      <c r="E84" s="32">
        <v>0.3236111111111111</v>
      </c>
      <c r="F84" s="32">
        <v>0.5736111111111111</v>
      </c>
      <c r="G84" s="32">
        <v>0.5736111111111111</v>
      </c>
      <c r="H84" s="32">
        <v>0.5805555555555555</v>
      </c>
      <c r="I84" s="36"/>
      <c r="J84" s="32">
        <v>0.8708333333333333</v>
      </c>
      <c r="K84" s="32" t="s">
        <v>38</v>
      </c>
      <c r="L84" s="32">
        <v>0.9569444444444444</v>
      </c>
      <c r="M84" s="36"/>
    </row>
    <row r="85" spans="1:13" ht="9.75">
      <c r="A85" s="20"/>
      <c r="B85" s="36"/>
      <c r="C85" s="20"/>
      <c r="D85" s="5"/>
      <c r="E85" s="5"/>
      <c r="F85" s="36"/>
      <c r="G85" s="53">
        <v>2</v>
      </c>
      <c r="H85" s="53">
        <v>2</v>
      </c>
      <c r="I85" s="36"/>
      <c r="J85" s="20"/>
      <c r="K85" s="20"/>
      <c r="L85" s="20"/>
      <c r="M85" s="36"/>
    </row>
    <row r="86" spans="1:13" ht="9.75">
      <c r="A86" s="54" t="s">
        <v>109</v>
      </c>
      <c r="B86" s="6">
        <v>0.2152777777777778</v>
      </c>
      <c r="C86" s="6" t="s">
        <v>28</v>
      </c>
      <c r="D86" s="5" t="s">
        <v>28</v>
      </c>
      <c r="E86" s="5" t="s">
        <v>28</v>
      </c>
      <c r="F86" s="6">
        <v>0.548611111111111</v>
      </c>
      <c r="I86" s="55"/>
      <c r="J86" s="6" t="s">
        <v>28</v>
      </c>
      <c r="K86" s="6" t="s">
        <v>28</v>
      </c>
      <c r="L86" s="6" t="s">
        <v>28</v>
      </c>
      <c r="M86" s="55"/>
    </row>
    <row r="87" spans="2:13" ht="9">
      <c r="B87" s="20" t="s">
        <v>110</v>
      </c>
      <c r="D87" s="56"/>
      <c r="E87" s="5"/>
      <c r="F87" s="20" t="s">
        <v>110</v>
      </c>
      <c r="I87" s="20"/>
      <c r="M87" s="20"/>
    </row>
    <row r="88" spans="2:13" ht="9">
      <c r="B88" s="20" t="s">
        <v>111</v>
      </c>
      <c r="D88" s="56"/>
      <c r="E88" s="5"/>
      <c r="F88" s="20" t="s">
        <v>111</v>
      </c>
      <c r="I88" s="20"/>
      <c r="M88" s="20"/>
    </row>
    <row r="89" spans="2:13" ht="9">
      <c r="B89" s="20"/>
      <c r="D89" s="56"/>
      <c r="F89" s="20"/>
      <c r="I89" s="20"/>
      <c r="M89" s="20"/>
    </row>
    <row r="90" spans="1:29" ht="9">
      <c r="A90" s="16" t="s">
        <v>60</v>
      </c>
      <c r="B90" s="20"/>
      <c r="C90" s="40">
        <f>277*33.3</f>
        <v>9224.099999999999</v>
      </c>
      <c r="D90" s="40">
        <f>277*33.3</f>
        <v>9224.099999999999</v>
      </c>
      <c r="E90" s="20"/>
      <c r="G90" s="40">
        <f>277*33.3</f>
        <v>9224.099999999999</v>
      </c>
      <c r="H90" s="20">
        <f>33.3*231</f>
        <v>7692.299999999999</v>
      </c>
      <c r="J90" s="20">
        <f>33.3*231</f>
        <v>7692.299999999999</v>
      </c>
      <c r="K90" s="20">
        <f>33.3*231</f>
        <v>7692.299999999999</v>
      </c>
      <c r="L90" s="20">
        <f>33.3*231</f>
        <v>7692.299999999999</v>
      </c>
      <c r="AC90" s="40">
        <f>SUM(B90:AB90)</f>
        <v>58441.49999999999</v>
      </c>
    </row>
    <row r="91" spans="1:29" ht="9">
      <c r="A91" s="16" t="s">
        <v>61</v>
      </c>
      <c r="B91" s="20"/>
      <c r="C91" s="40">
        <f>(2.3-4)*277</f>
        <v>-470.90000000000003</v>
      </c>
      <c r="D91" s="40">
        <f>-D90</f>
        <v>-9224.099999999999</v>
      </c>
      <c r="E91" s="20"/>
      <c r="G91" s="40">
        <f>(2.3-4)*277</f>
        <v>-470.90000000000003</v>
      </c>
      <c r="H91" s="20">
        <f>(2.3-4)*231</f>
        <v>-392.70000000000005</v>
      </c>
      <c r="J91" s="20">
        <f>(2.3-4)*231</f>
        <v>-392.70000000000005</v>
      </c>
      <c r="K91" s="20">
        <f>(2.3-4)*231</f>
        <v>-392.70000000000005</v>
      </c>
      <c r="L91" s="20">
        <f>(2.3-4)*231</f>
        <v>-392.70000000000005</v>
      </c>
      <c r="AC91" s="40">
        <f>SUM(B91:AB91)</f>
        <v>-11736.7</v>
      </c>
    </row>
    <row r="92" spans="1:12" ht="9">
      <c r="A92" s="16" t="s">
        <v>62</v>
      </c>
      <c r="B92" s="20"/>
      <c r="C92" t="s">
        <v>112</v>
      </c>
      <c r="D92" t="s">
        <v>113</v>
      </c>
      <c r="E92" s="20" t="s">
        <v>114</v>
      </c>
      <c r="G92" t="s">
        <v>115</v>
      </c>
      <c r="H92" t="s">
        <v>115</v>
      </c>
      <c r="J92" t="s">
        <v>115</v>
      </c>
      <c r="K92" t="s">
        <v>115</v>
      </c>
      <c r="L92" t="s">
        <v>115</v>
      </c>
    </row>
    <row r="94" spans="1:2" s="3" customFormat="1" ht="19.5">
      <c r="A94" s="1" t="s">
        <v>91</v>
      </c>
      <c r="B94" s="2" t="s">
        <v>116</v>
      </c>
    </row>
    <row r="96" spans="1:13" ht="9.75">
      <c r="A96" s="30" t="s">
        <v>68</v>
      </c>
      <c r="B96" s="32" t="s">
        <v>38</v>
      </c>
      <c r="C96" s="42">
        <v>0.24930555555555556</v>
      </c>
      <c r="D96" s="42" t="s">
        <v>117</v>
      </c>
      <c r="E96" s="42" t="s">
        <v>38</v>
      </c>
      <c r="F96" s="42" t="s">
        <v>38</v>
      </c>
      <c r="G96" s="42" t="s">
        <v>38</v>
      </c>
      <c r="H96" s="42">
        <v>0.5916666666666667</v>
      </c>
      <c r="I96" s="31">
        <v>0.6243055555555556</v>
      </c>
      <c r="J96" s="31">
        <v>0.7076388888888889</v>
      </c>
      <c r="K96" s="42">
        <v>0.8833333333333333</v>
      </c>
      <c r="L96" s="42" t="s">
        <v>38</v>
      </c>
      <c r="M96" s="42">
        <v>0.9263888888888889</v>
      </c>
    </row>
    <row r="97" spans="1:13" ht="9.75">
      <c r="A97" s="30" t="s">
        <v>69</v>
      </c>
      <c r="B97" s="32" t="s">
        <v>38</v>
      </c>
      <c r="C97" s="42">
        <v>0.2590277777777778</v>
      </c>
      <c r="D97" s="42" t="s">
        <v>117</v>
      </c>
      <c r="E97" s="42">
        <v>0.4979166666666667</v>
      </c>
      <c r="F97" s="42">
        <v>0.4979166666666667</v>
      </c>
      <c r="G97" s="31">
        <v>0.5736111111111111</v>
      </c>
      <c r="H97" s="42" t="s">
        <v>38</v>
      </c>
      <c r="I97" s="42">
        <v>0.6152777777777778</v>
      </c>
      <c r="J97" s="42">
        <v>0.7090277777777778</v>
      </c>
      <c r="K97" s="42">
        <v>0.8708333333333333</v>
      </c>
      <c r="L97" s="42">
        <v>0.9069444444444444</v>
      </c>
      <c r="M97" s="42" t="s">
        <v>38</v>
      </c>
    </row>
    <row r="98" spans="1:13" ht="9">
      <c r="A98" s="43"/>
      <c r="B98" s="6"/>
      <c r="C98" s="6"/>
      <c r="D98" s="6"/>
      <c r="E98" s="6"/>
      <c r="F98" s="6"/>
      <c r="G98" s="6"/>
      <c r="H98" s="6"/>
      <c r="J98" s="6"/>
      <c r="K98" s="6"/>
      <c r="M98" s="6"/>
    </row>
    <row r="99" spans="2:13" ht="9.75">
      <c r="B99" s="11" t="s">
        <v>8</v>
      </c>
      <c r="C99" s="11" t="s">
        <v>8</v>
      </c>
      <c r="D99" s="11" t="s">
        <v>13</v>
      </c>
      <c r="E99" s="11" t="s">
        <v>8</v>
      </c>
      <c r="F99" s="12" t="s">
        <v>13</v>
      </c>
      <c r="G99" s="11" t="s">
        <v>13</v>
      </c>
      <c r="H99" s="11" t="s">
        <v>13</v>
      </c>
      <c r="I99" s="11"/>
      <c r="J99" s="11" t="s">
        <v>9</v>
      </c>
      <c r="K99" s="11" t="s">
        <v>13</v>
      </c>
      <c r="L99" s="11"/>
      <c r="M99" s="11" t="s">
        <v>13</v>
      </c>
    </row>
    <row r="100" spans="1:13" ht="27.75">
      <c r="A100" s="16" t="s">
        <v>16</v>
      </c>
      <c r="B100" s="48" t="s">
        <v>118</v>
      </c>
      <c r="C100" s="48" t="s">
        <v>118</v>
      </c>
      <c r="D100" s="48" t="s">
        <v>119</v>
      </c>
      <c r="E100" s="48" t="s">
        <v>118</v>
      </c>
      <c r="F100" s="5" t="s">
        <v>120</v>
      </c>
      <c r="G100" s="48" t="s">
        <v>118</v>
      </c>
      <c r="H100" s="48" t="s">
        <v>118</v>
      </c>
      <c r="I100" s="48" t="s">
        <v>121</v>
      </c>
      <c r="J100" s="48" t="s">
        <v>118</v>
      </c>
      <c r="K100" s="48" t="s">
        <v>118</v>
      </c>
      <c r="L100" s="48" t="s">
        <v>121</v>
      </c>
      <c r="M100" s="48" t="s">
        <v>118</v>
      </c>
    </row>
    <row r="101" spans="1:13" ht="18.75">
      <c r="A101" s="19" t="s">
        <v>35</v>
      </c>
      <c r="B101" s="6"/>
      <c r="C101" s="18">
        <v>0.2638888888888889</v>
      </c>
      <c r="D101" s="6" t="s">
        <v>80</v>
      </c>
      <c r="E101" s="18" t="s">
        <v>80</v>
      </c>
      <c r="F101" s="5">
        <v>0.5055555555555555</v>
      </c>
      <c r="G101" s="18">
        <v>0.5715277777777777</v>
      </c>
      <c r="H101" s="18">
        <v>0.6027777777777777</v>
      </c>
      <c r="I101" s="18">
        <v>0.6236111111111111</v>
      </c>
      <c r="J101" s="18">
        <v>0.7243055555555555</v>
      </c>
      <c r="K101" s="18">
        <v>0.8875</v>
      </c>
      <c r="L101" s="18">
        <v>0.9152777777777777</v>
      </c>
      <c r="M101" s="18">
        <v>0.9361111111111111</v>
      </c>
    </row>
    <row r="102" spans="1:13" ht="9.75">
      <c r="A102" s="19" t="s">
        <v>34</v>
      </c>
      <c r="B102" s="18">
        <v>0.18958333333333333</v>
      </c>
      <c r="C102" s="18">
        <v>0.2659722222222222</v>
      </c>
      <c r="D102" s="6">
        <v>0.4361111111111111</v>
      </c>
      <c r="E102" s="6">
        <v>0.4986111111111111</v>
      </c>
      <c r="F102" s="5">
        <v>0.5090277777777777</v>
      </c>
      <c r="G102" s="57">
        <v>0.5680555555555555</v>
      </c>
      <c r="H102" s="57">
        <v>0.5993055555555555</v>
      </c>
      <c r="I102" s="6">
        <v>0.6270833333333333</v>
      </c>
      <c r="J102" s="57">
        <v>0.7208333333333333</v>
      </c>
      <c r="K102" s="57">
        <v>0.8840277777777777</v>
      </c>
      <c r="L102" s="6">
        <v>0.91875</v>
      </c>
      <c r="M102" s="57">
        <v>0.9319444444444445</v>
      </c>
    </row>
    <row r="103" spans="1:13" ht="9.75">
      <c r="A103" s="19" t="s">
        <v>33</v>
      </c>
      <c r="B103" s="6">
        <v>0.19027777777777777</v>
      </c>
      <c r="C103" s="6">
        <v>0.26666666666666666</v>
      </c>
      <c r="D103" s="6">
        <v>0.4395833333333333</v>
      </c>
      <c r="E103" s="6">
        <v>0.49930555555555556</v>
      </c>
      <c r="F103" s="5">
        <v>0.5125</v>
      </c>
      <c r="G103" s="57">
        <v>0.56875</v>
      </c>
      <c r="H103" s="57">
        <v>0.6</v>
      </c>
      <c r="I103" s="6">
        <v>0.6298611111111111</v>
      </c>
      <c r="J103" s="57">
        <v>0.7243055555555555</v>
      </c>
      <c r="K103" s="57">
        <v>0.8847222222222222</v>
      </c>
      <c r="L103" s="6">
        <v>0.9215277777777777</v>
      </c>
      <c r="M103" s="57">
        <v>0.9333333333333333</v>
      </c>
    </row>
    <row r="104" spans="1:13" ht="9.75">
      <c r="A104" s="19" t="s">
        <v>32</v>
      </c>
      <c r="B104" s="6"/>
      <c r="C104" s="6"/>
      <c r="D104" s="6"/>
      <c r="E104" s="6"/>
      <c r="F104" s="5"/>
      <c r="G104" s="57"/>
      <c r="H104" s="57"/>
      <c r="I104" s="6"/>
      <c r="J104" s="57"/>
      <c r="K104" s="57"/>
      <c r="L104" s="6"/>
      <c r="M104" s="57"/>
    </row>
    <row r="105" spans="1:13" ht="18.75">
      <c r="A105" s="19" t="s">
        <v>31</v>
      </c>
      <c r="B105" s="6">
        <v>0.1909722222222222</v>
      </c>
      <c r="C105" s="6">
        <v>0.2673611111111111</v>
      </c>
      <c r="D105" s="6"/>
      <c r="E105" s="6">
        <v>0.5</v>
      </c>
      <c r="F105" s="5"/>
      <c r="G105" s="57">
        <v>0.5694444444444444</v>
      </c>
      <c r="H105" s="57">
        <v>0.6006944444444444</v>
      </c>
      <c r="I105" s="6"/>
      <c r="J105" s="57">
        <v>0.725</v>
      </c>
      <c r="K105" s="57">
        <v>0.8854166666666666</v>
      </c>
      <c r="L105" s="6"/>
      <c r="M105" s="57">
        <v>0.9340277777777778</v>
      </c>
    </row>
    <row r="106" spans="1:13" ht="9.75">
      <c r="A106" s="17" t="s">
        <v>22</v>
      </c>
      <c r="B106" s="6">
        <v>0.19652777777777777</v>
      </c>
      <c r="C106" s="6">
        <v>0.27361111111111114</v>
      </c>
      <c r="D106" s="6">
        <v>0.4465277777777778</v>
      </c>
      <c r="E106" s="6">
        <v>0.5055555555555555</v>
      </c>
      <c r="F106" s="5">
        <v>0.5194444444444445</v>
      </c>
      <c r="G106" s="57">
        <v>0.5743055555555555</v>
      </c>
      <c r="H106" s="57">
        <v>0.6069444444444444</v>
      </c>
      <c r="I106" s="6">
        <v>0.6361111111111111</v>
      </c>
      <c r="J106" s="57">
        <v>0.73125</v>
      </c>
      <c r="K106" s="57">
        <v>0.8909722222222223</v>
      </c>
      <c r="L106" s="6">
        <v>0.9694444444444444</v>
      </c>
      <c r="M106" s="57">
        <v>0.9402777777777778</v>
      </c>
    </row>
    <row r="107" spans="2:17" ht="9">
      <c r="B107" s="6"/>
      <c r="C107" s="6"/>
      <c r="D107" s="6"/>
      <c r="E107" s="6"/>
      <c r="F107" s="5"/>
      <c r="G107" s="57"/>
      <c r="H107" s="57"/>
      <c r="I107" s="6"/>
      <c r="J107" s="57"/>
      <c r="K107" s="57"/>
      <c r="M107" s="57"/>
      <c r="Q107" s="6"/>
    </row>
    <row r="108" spans="1:13" ht="9.75">
      <c r="A108" s="16" t="s">
        <v>122</v>
      </c>
      <c r="B108" s="48" t="s">
        <v>18</v>
      </c>
      <c r="C108" s="48" t="s">
        <v>18</v>
      </c>
      <c r="D108" s="48" t="s">
        <v>18</v>
      </c>
      <c r="E108" s="48" t="s">
        <v>18</v>
      </c>
      <c r="F108" s="5" t="s">
        <v>18</v>
      </c>
      <c r="G108" s="58" t="s">
        <v>18</v>
      </c>
      <c r="H108" s="58" t="s">
        <v>18</v>
      </c>
      <c r="J108" s="58" t="s">
        <v>18</v>
      </c>
      <c r="K108" s="58" t="s">
        <v>18</v>
      </c>
      <c r="M108" s="58" t="s">
        <v>18</v>
      </c>
    </row>
    <row r="109" spans="2:10" ht="9">
      <c r="B109" s="6"/>
      <c r="C109" s="6"/>
      <c r="D109" s="6"/>
      <c r="E109" s="6"/>
      <c r="F109" s="6"/>
      <c r="G109" s="6"/>
      <c r="H109" s="6"/>
      <c r="I109" s="6"/>
      <c r="J109" s="6"/>
    </row>
    <row r="110" spans="2:10" ht="9">
      <c r="B110" s="6"/>
      <c r="C110" s="6"/>
      <c r="D110" s="6"/>
      <c r="E110" s="6"/>
      <c r="F110" s="6"/>
      <c r="G110" s="6"/>
      <c r="H110" s="6"/>
      <c r="I110" s="6"/>
      <c r="J110" s="6"/>
    </row>
    <row r="111" spans="1:29" ht="9.75">
      <c r="A111" s="16" t="s">
        <v>60</v>
      </c>
      <c r="B111" s="9">
        <f>277*33.3</f>
        <v>9224.099999999999</v>
      </c>
      <c r="C111" s="9">
        <f>277*33.3</f>
        <v>9224.099999999999</v>
      </c>
      <c r="D111" s="9"/>
      <c r="E111" s="9">
        <f>231*33.3</f>
        <v>7692.299999999999</v>
      </c>
      <c r="F111" s="40">
        <f>60*231</f>
        <v>13860</v>
      </c>
      <c r="G111" s="9">
        <f>231*33.3</f>
        <v>7692.299999999999</v>
      </c>
      <c r="H111" s="9">
        <f>231*33.3</f>
        <v>7692.299999999999</v>
      </c>
      <c r="I111" s="9"/>
      <c r="J111" s="9">
        <f>302*33.3</f>
        <v>10056.599999999999</v>
      </c>
      <c r="K111" s="9">
        <f>231*33.3</f>
        <v>7692.299999999999</v>
      </c>
      <c r="L111" s="9"/>
      <c r="M111" s="9">
        <f>231*33.3</f>
        <v>7692.299999999999</v>
      </c>
      <c r="AC111" s="40">
        <f>SUM(B111:AB111)</f>
        <v>80826.29999999999</v>
      </c>
    </row>
    <row r="112" spans="1:29" ht="9.75">
      <c r="A112" s="16" t="s">
        <v>61</v>
      </c>
      <c r="B112" s="9">
        <v>0</v>
      </c>
      <c r="C112" s="9">
        <f>277*(2.8-4)</f>
        <v>-332.40000000000003</v>
      </c>
      <c r="D112" s="9"/>
      <c r="E112" s="9">
        <v>0</v>
      </c>
      <c r="F112" s="40">
        <f>-F111</f>
        <v>-13860</v>
      </c>
      <c r="G112" s="9">
        <f>(2.8-4)*231</f>
        <v>-277.20000000000005</v>
      </c>
      <c r="H112" s="9">
        <f>(-4+2.8*231)</f>
        <v>642.8</v>
      </c>
      <c r="I112" s="9"/>
      <c r="J112" s="9">
        <f>(-4+2.8)*302</f>
        <v>-362.40000000000003</v>
      </c>
      <c r="K112" s="9">
        <f>(-4+2.8)*231</f>
        <v>-277.20000000000005</v>
      </c>
      <c r="L112" s="9"/>
      <c r="M112" s="9">
        <f>(-4+2.8)*231</f>
        <v>-277.20000000000005</v>
      </c>
      <c r="AC112" s="40">
        <f>SUM(B112:AB112)</f>
        <v>-14743.600000000002</v>
      </c>
    </row>
    <row r="113" spans="1:13" ht="72.75">
      <c r="A113" s="16" t="s">
        <v>62</v>
      </c>
      <c r="B113" s="9"/>
      <c r="C113" s="9"/>
      <c r="D113" s="9"/>
      <c r="E113" s="9"/>
      <c r="G113" s="9" t="s">
        <v>123</v>
      </c>
      <c r="H113" s="9"/>
      <c r="I113" s="9"/>
      <c r="J113" s="9"/>
      <c r="K113" s="9"/>
      <c r="L113" s="9"/>
      <c r="M113" s="9"/>
    </row>
    <row r="115" spans="1:2" s="3" customFormat="1" ht="19.5">
      <c r="A115" s="1" t="s">
        <v>118</v>
      </c>
      <c r="B115" s="2" t="s">
        <v>124</v>
      </c>
    </row>
    <row r="117" spans="1:16" ht="9.75">
      <c r="A117" s="19" t="s">
        <v>125</v>
      </c>
      <c r="B117" s="6"/>
      <c r="C117" s="6">
        <v>0.2569444444444444</v>
      </c>
      <c r="D117" s="6"/>
      <c r="E117" s="6"/>
      <c r="F117" s="6"/>
      <c r="G117" s="6"/>
      <c r="H117" s="6"/>
      <c r="I117" s="6"/>
      <c r="J117" s="6"/>
      <c r="K117" s="6"/>
      <c r="M117" s="6">
        <v>0.7083333333333334</v>
      </c>
      <c r="P117" s="6">
        <v>0.9236111111111112</v>
      </c>
    </row>
    <row r="118" spans="1:16" ht="18.75">
      <c r="A118" s="19" t="s">
        <v>126</v>
      </c>
      <c r="B118" s="6">
        <v>0.1840277777777778</v>
      </c>
      <c r="C118" s="6"/>
      <c r="D118" s="6"/>
      <c r="E118" s="6"/>
      <c r="F118" s="6"/>
      <c r="G118" s="6"/>
      <c r="H118" s="6">
        <v>0.4930555555555556</v>
      </c>
      <c r="J118" s="6">
        <v>0.5625</v>
      </c>
      <c r="K118" s="6">
        <v>0.5902777777777778</v>
      </c>
      <c r="M118" s="6">
        <v>0.7152777777777778</v>
      </c>
      <c r="N118" s="6">
        <v>0.8784722222222222</v>
      </c>
      <c r="P118" s="6"/>
    </row>
    <row r="119" spans="1:16" ht="18.75">
      <c r="A119" s="19" t="s">
        <v>127</v>
      </c>
      <c r="B119" s="6">
        <v>0.1875</v>
      </c>
      <c r="C119" s="6"/>
      <c r="D119" s="6"/>
      <c r="E119" s="6"/>
      <c r="F119" s="6"/>
      <c r="G119" s="6"/>
      <c r="H119" s="6">
        <v>0.4965277777777778</v>
      </c>
      <c r="J119" s="6">
        <v>0.5659722222222222</v>
      </c>
      <c r="K119" s="6"/>
      <c r="M119" s="6">
        <v>0.71875</v>
      </c>
      <c r="N119" s="6">
        <v>0.8819444444444444</v>
      </c>
      <c r="P119" s="6"/>
    </row>
    <row r="120" spans="1:16" ht="18.75">
      <c r="A120" s="19" t="s">
        <v>128</v>
      </c>
      <c r="B120" s="6">
        <v>0.18819444444444444</v>
      </c>
      <c r="C120" s="6"/>
      <c r="D120" s="6"/>
      <c r="E120" s="6"/>
      <c r="F120" s="6"/>
      <c r="G120" s="6"/>
      <c r="H120" s="6">
        <v>0.49722222222222223</v>
      </c>
      <c r="J120" s="6">
        <v>0.5666666666666667</v>
      </c>
      <c r="K120" s="6"/>
      <c r="M120" s="6">
        <v>0.7194444444444444</v>
      </c>
      <c r="N120" s="6">
        <v>0.8826388888888889</v>
      </c>
      <c r="P120" s="6"/>
    </row>
    <row r="121" spans="1:16" ht="9.75">
      <c r="A121" t="s">
        <v>34</v>
      </c>
      <c r="B121" s="6">
        <v>0.18958333333333333</v>
      </c>
      <c r="C121" s="6">
        <v>0.2604166666666667</v>
      </c>
      <c r="D121" s="6"/>
      <c r="E121" s="6"/>
      <c r="F121" s="6"/>
      <c r="G121" s="6"/>
      <c r="H121" s="6">
        <v>0.4986111111111111</v>
      </c>
      <c r="J121" s="6">
        <v>0.5680555555555555</v>
      </c>
      <c r="K121" s="6">
        <v>0.5993055555555555</v>
      </c>
      <c r="M121" s="6">
        <v>0.7208333333333333</v>
      </c>
      <c r="N121" s="6">
        <v>0.8840277777777777</v>
      </c>
      <c r="P121" s="6">
        <v>0.9326388888888889</v>
      </c>
    </row>
    <row r="122" spans="1:16" ht="18.75">
      <c r="A122" s="19" t="s">
        <v>35</v>
      </c>
      <c r="B122" s="18" t="s">
        <v>80</v>
      </c>
      <c r="C122" s="18">
        <v>0.2638888888888889</v>
      </c>
      <c r="D122" s="18"/>
      <c r="E122" s="18"/>
      <c r="F122" s="18"/>
      <c r="G122" s="18"/>
      <c r="H122" s="18" t="s">
        <v>80</v>
      </c>
      <c r="I122" s="18"/>
      <c r="J122" s="18">
        <v>0.5715277777777777</v>
      </c>
      <c r="K122" s="18">
        <v>0.6027777777777777</v>
      </c>
      <c r="L122" s="18"/>
      <c r="M122" s="18">
        <v>0.7243055555555555</v>
      </c>
      <c r="N122" s="18">
        <v>0.8875</v>
      </c>
      <c r="O122" s="18"/>
      <c r="P122" s="18">
        <v>0.9361111111111111</v>
      </c>
    </row>
    <row r="124" spans="1:16" ht="9.75">
      <c r="A124" s="30" t="s">
        <v>129</v>
      </c>
      <c r="B124" s="42" t="s">
        <v>38</v>
      </c>
      <c r="C124" s="42">
        <v>0.2722222222222222</v>
      </c>
      <c r="D124" s="42"/>
      <c r="E124" s="42"/>
      <c r="F124" s="42"/>
      <c r="G124" s="42"/>
      <c r="H124" s="42" t="s">
        <v>38</v>
      </c>
      <c r="I124" s="42"/>
      <c r="J124" s="42">
        <v>0.5736111111111111</v>
      </c>
      <c r="K124" s="42">
        <v>0.6152777777777778</v>
      </c>
      <c r="M124" s="42">
        <v>0.7402777777777778</v>
      </c>
      <c r="N124" s="42" t="s">
        <v>38</v>
      </c>
      <c r="P124" s="42" t="s">
        <v>38</v>
      </c>
    </row>
    <row r="125" spans="1:16" ht="9.75">
      <c r="A125" s="30" t="s">
        <v>130</v>
      </c>
      <c r="B125" s="42" t="s">
        <v>38</v>
      </c>
      <c r="C125" s="42">
        <v>0.2791666666666667</v>
      </c>
      <c r="D125" s="42"/>
      <c r="E125" s="42"/>
      <c r="F125" s="42"/>
      <c r="G125" s="42"/>
      <c r="H125" s="42" t="s">
        <v>38</v>
      </c>
      <c r="I125" s="42"/>
      <c r="J125" s="42">
        <v>0.5833333333333334</v>
      </c>
      <c r="K125" s="42">
        <v>0.6243055555555556</v>
      </c>
      <c r="M125" s="42">
        <v>0.7423611111111111</v>
      </c>
      <c r="N125" s="31">
        <v>0.8833333333333333</v>
      </c>
      <c r="P125" s="42" t="s">
        <v>38</v>
      </c>
    </row>
    <row r="127" spans="1:16" ht="9">
      <c r="A127" s="16" t="s">
        <v>131</v>
      </c>
      <c r="B127" s="47" t="s">
        <v>18</v>
      </c>
      <c r="C127" s="47" t="s">
        <v>18</v>
      </c>
      <c r="H127" s="47" t="s">
        <v>18</v>
      </c>
      <c r="J127" s="47" t="s">
        <v>18</v>
      </c>
      <c r="K127" s="47" t="s">
        <v>18</v>
      </c>
      <c r="M127" s="47" t="s">
        <v>18</v>
      </c>
      <c r="N127" s="47" t="s">
        <v>18</v>
      </c>
      <c r="P127" s="47" t="s">
        <v>18</v>
      </c>
    </row>
    <row r="128" spans="1:16" ht="9">
      <c r="A128" s="16" t="s">
        <v>85</v>
      </c>
      <c r="B128" s="47">
        <v>45</v>
      </c>
      <c r="C128" s="47">
        <v>45</v>
      </c>
      <c r="H128" s="47">
        <v>45</v>
      </c>
      <c r="J128" s="47">
        <v>45</v>
      </c>
      <c r="K128" s="47">
        <v>45</v>
      </c>
      <c r="M128" s="47">
        <v>45</v>
      </c>
      <c r="N128" s="47">
        <v>45</v>
      </c>
      <c r="P128" s="47">
        <v>45</v>
      </c>
    </row>
    <row r="131" spans="1:2" s="3" customFormat="1" ht="19.5">
      <c r="A131" s="1" t="s">
        <v>118</v>
      </c>
      <c r="B131" s="2" t="s">
        <v>132</v>
      </c>
    </row>
    <row r="133" spans="1:12" ht="9.75">
      <c r="A133" s="30" t="s">
        <v>68</v>
      </c>
      <c r="B133" s="42"/>
      <c r="C133" s="42" t="s">
        <v>38</v>
      </c>
      <c r="D133" s="42" t="s">
        <v>38</v>
      </c>
      <c r="E133" s="32">
        <v>0.3013888888888889</v>
      </c>
      <c r="F133" s="42"/>
      <c r="G133" s="32">
        <v>0.5333333333333333</v>
      </c>
      <c r="H133" s="42">
        <v>0.55</v>
      </c>
      <c r="I133" s="42"/>
      <c r="J133" s="42">
        <v>0.8416666666666667</v>
      </c>
      <c r="K133" s="42">
        <v>0.8833333333333333</v>
      </c>
      <c r="L133" s="42">
        <v>0.9263888888888889</v>
      </c>
    </row>
    <row r="134" spans="1:12" ht="9.75">
      <c r="A134" s="30" t="s">
        <v>69</v>
      </c>
      <c r="B134" s="42"/>
      <c r="C134" s="42" t="s">
        <v>38</v>
      </c>
      <c r="D134" s="42" t="s">
        <v>38</v>
      </c>
      <c r="E134" s="32">
        <v>0.30277777777777776</v>
      </c>
      <c r="F134" s="42"/>
      <c r="G134" s="32">
        <v>0.5402777777777777</v>
      </c>
      <c r="H134" s="59">
        <v>0.5333333333333333</v>
      </c>
      <c r="I134" s="42"/>
      <c r="J134" s="42">
        <v>0.8548611111111111</v>
      </c>
      <c r="K134" s="59">
        <v>0.8708333333333333</v>
      </c>
      <c r="L134" s="42" t="s">
        <v>38</v>
      </c>
    </row>
    <row r="136" spans="1:12" ht="9">
      <c r="A136" s="16" t="s">
        <v>131</v>
      </c>
      <c r="B136" s="60"/>
      <c r="C136" s="47" t="s">
        <v>133</v>
      </c>
      <c r="D136" s="47" t="s">
        <v>133</v>
      </c>
      <c r="E136" s="47" t="s">
        <v>133</v>
      </c>
      <c r="F136" s="47"/>
      <c r="G136" s="47" t="s">
        <v>133</v>
      </c>
      <c r="H136" s="47" t="s">
        <v>133</v>
      </c>
      <c r="I136" s="47"/>
      <c r="J136" s="47" t="s">
        <v>133</v>
      </c>
      <c r="K136" s="47" t="s">
        <v>133</v>
      </c>
      <c r="L136" s="47" t="s">
        <v>133</v>
      </c>
    </row>
    <row r="137" spans="1:12" ht="9">
      <c r="A137" s="16" t="s">
        <v>85</v>
      </c>
      <c r="B137" s="60"/>
      <c r="C137" s="47" t="s">
        <v>103</v>
      </c>
      <c r="D137" s="47" t="s">
        <v>103</v>
      </c>
      <c r="E137" s="47" t="s">
        <v>103</v>
      </c>
      <c r="F137" s="47"/>
      <c r="G137" s="47" t="s">
        <v>103</v>
      </c>
      <c r="H137" s="47" t="s">
        <v>103</v>
      </c>
      <c r="I137" s="47"/>
      <c r="J137" s="47" t="s">
        <v>103</v>
      </c>
      <c r="K137" s="47" t="s">
        <v>103</v>
      </c>
      <c r="L137" s="47" t="s">
        <v>103</v>
      </c>
    </row>
    <row r="138" spans="1:12" ht="9">
      <c r="A138" s="61"/>
      <c r="D138" s="18"/>
      <c r="E138" s="18"/>
      <c r="F138" s="6"/>
      <c r="G138" s="18"/>
      <c r="H138" s="18"/>
      <c r="I138" s="18"/>
      <c r="J138" s="18"/>
      <c r="K138" s="18"/>
      <c r="L138" s="18"/>
    </row>
    <row r="139" spans="1:12" ht="18.75">
      <c r="A139" s="19" t="s">
        <v>35</v>
      </c>
      <c r="C139" s="6"/>
      <c r="D139" s="18" t="s">
        <v>80</v>
      </c>
      <c r="E139" s="18">
        <v>0.3138888888888889</v>
      </c>
      <c r="F139" s="6"/>
      <c r="G139" s="18">
        <v>0.5430555555555555</v>
      </c>
      <c r="H139" s="18">
        <v>0.5638888888888889</v>
      </c>
      <c r="I139" s="18"/>
      <c r="J139" s="18">
        <v>0.8597222222222223</v>
      </c>
      <c r="K139" s="18">
        <v>0.8979166666666667</v>
      </c>
      <c r="L139" s="18">
        <v>0.9319444444444445</v>
      </c>
    </row>
    <row r="140" spans="1:12" ht="9.75">
      <c r="A140" t="s">
        <v>34</v>
      </c>
      <c r="C140" s="6">
        <v>0.23680555555555555</v>
      </c>
      <c r="D140" s="18">
        <v>0.23680555555555555</v>
      </c>
      <c r="E140" s="6">
        <v>0.3173611111111111</v>
      </c>
      <c r="F140" s="6"/>
      <c r="G140" s="18">
        <v>0.5465277777777777</v>
      </c>
      <c r="H140" s="18">
        <v>0.5673611111111111</v>
      </c>
      <c r="I140" s="18"/>
      <c r="J140" s="18">
        <v>0.8631944444444445</v>
      </c>
      <c r="K140" s="18">
        <v>0.9013888888888889</v>
      </c>
      <c r="L140" s="18">
        <v>0.9354166666666667</v>
      </c>
    </row>
    <row r="141" spans="1:12" ht="18.75">
      <c r="A141" s="19" t="s">
        <v>128</v>
      </c>
      <c r="B141" s="20"/>
      <c r="C141" s="6" t="s">
        <v>28</v>
      </c>
      <c r="D141" s="6">
        <v>0.2388888888888889</v>
      </c>
      <c r="E141" s="6">
        <v>0.31875000000000003</v>
      </c>
      <c r="F141" s="6"/>
      <c r="G141" s="6">
        <v>0.5479166666666666</v>
      </c>
      <c r="H141" s="6" t="s">
        <v>28</v>
      </c>
      <c r="I141" s="6"/>
      <c r="J141" s="6">
        <v>0.8638888888888889</v>
      </c>
      <c r="K141" s="6" t="s">
        <v>28</v>
      </c>
      <c r="L141" s="6">
        <v>0.9368055555555556</v>
      </c>
    </row>
    <row r="142" spans="1:12" ht="18.75">
      <c r="A142" s="19" t="s">
        <v>127</v>
      </c>
      <c r="B142" s="20"/>
      <c r="C142" s="6" t="s">
        <v>28</v>
      </c>
      <c r="D142" s="6">
        <v>0.23958333333333334</v>
      </c>
      <c r="E142" s="6">
        <v>0.3194444444444445</v>
      </c>
      <c r="F142" s="6"/>
      <c r="G142" s="6">
        <v>0.548611111111111</v>
      </c>
      <c r="H142" s="6" t="s">
        <v>28</v>
      </c>
      <c r="I142" s="6"/>
      <c r="J142" s="6">
        <v>0.8645833333333334</v>
      </c>
      <c r="K142" s="6" t="s">
        <v>28</v>
      </c>
      <c r="L142" s="6">
        <v>0.9375</v>
      </c>
    </row>
    <row r="143" spans="1:12" ht="18.75">
      <c r="A143" s="19" t="s">
        <v>126</v>
      </c>
      <c r="B143" s="20"/>
      <c r="C143" s="6" t="s">
        <v>28</v>
      </c>
      <c r="D143" s="6">
        <v>0.24305555555555558</v>
      </c>
      <c r="E143" s="6">
        <v>0.3229166666666667</v>
      </c>
      <c r="F143" s="6"/>
      <c r="G143" s="6">
        <v>0.5520833333333333</v>
      </c>
      <c r="H143" s="6" t="s">
        <v>28</v>
      </c>
      <c r="I143" s="6"/>
      <c r="J143" s="6">
        <v>0.8680555555555556</v>
      </c>
      <c r="K143" s="6" t="s">
        <v>28</v>
      </c>
      <c r="L143" s="6">
        <v>0.9409722222222222</v>
      </c>
    </row>
    <row r="144" spans="1:12" ht="9.75">
      <c r="A144" s="19" t="s">
        <v>125</v>
      </c>
      <c r="B144" s="20"/>
      <c r="C144" s="6">
        <v>0.24305555555555558</v>
      </c>
      <c r="D144" s="6" t="s">
        <v>28</v>
      </c>
      <c r="E144" s="6">
        <v>0.3263888888888889</v>
      </c>
      <c r="F144" s="6"/>
      <c r="G144" s="6" t="s">
        <v>28</v>
      </c>
      <c r="H144" s="6">
        <v>0.5763888888888888</v>
      </c>
      <c r="I144" s="6"/>
      <c r="J144" s="6" t="s">
        <v>28</v>
      </c>
      <c r="K144" s="6">
        <v>0.9097222222222222</v>
      </c>
      <c r="L144" s="6" t="s">
        <v>28</v>
      </c>
    </row>
    <row r="145" spans="3:12" ht="9">
      <c r="C145" s="6"/>
      <c r="D145" s="6"/>
      <c r="E145" s="6"/>
      <c r="F145" s="6"/>
      <c r="G145" s="6"/>
      <c r="H145" s="6"/>
      <c r="I145" s="6"/>
      <c r="J145" s="6"/>
      <c r="K145" s="6"/>
      <c r="L145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26" sqref="A26"/>
    </sheetView>
  </sheetViews>
  <sheetFormatPr defaultColWidth="13.7109375" defaultRowHeight="10.5"/>
  <cols>
    <col min="1" max="1" width="14.421875" style="62" customWidth="1"/>
    <col min="2" max="2" width="17.00390625" style="0" customWidth="1"/>
  </cols>
  <sheetData>
    <row r="1" spans="3:4" ht="9">
      <c r="C1" s="16" t="s">
        <v>134</v>
      </c>
      <c r="D1" s="16" t="s">
        <v>135</v>
      </c>
    </row>
    <row r="2" spans="1:4" ht="9">
      <c r="A2" s="62">
        <v>1</v>
      </c>
      <c r="B2" t="s">
        <v>136</v>
      </c>
      <c r="C2" s="40">
        <f>Ottimizzazione!AD62</f>
        <v>204650.99999999994</v>
      </c>
      <c r="D2" s="40">
        <f>Ottimizzazione!AD63</f>
        <v>-8562.800000000003</v>
      </c>
    </row>
    <row r="3" spans="1:4" ht="9">
      <c r="A3" s="62">
        <v>1</v>
      </c>
      <c r="B3" t="s">
        <v>137</v>
      </c>
      <c r="C3" s="40">
        <f>Ottimizzazione!AC31</f>
        <v>302474.3</v>
      </c>
      <c r="D3" s="40">
        <f>Ottimizzazione!AC32</f>
        <v>-115656.2</v>
      </c>
    </row>
    <row r="4" spans="1:4" ht="9">
      <c r="A4" s="62" t="s">
        <v>138</v>
      </c>
      <c r="B4" t="s">
        <v>136</v>
      </c>
      <c r="C4" s="40">
        <f>Ottimizzazione!AC111</f>
        <v>80826.29999999999</v>
      </c>
      <c r="D4" s="40">
        <f>Ottimizzazione!AC112</f>
        <v>-14743.600000000002</v>
      </c>
    </row>
    <row r="5" spans="1:4" ht="9">
      <c r="A5" s="62" t="s">
        <v>138</v>
      </c>
      <c r="B5" t="s">
        <v>139</v>
      </c>
      <c r="C5" s="40">
        <f>Ottimizzazione!AC90</f>
        <v>58441.49999999999</v>
      </c>
      <c r="D5" s="40">
        <f>Ottimizzazione!AC91</f>
        <v>-11736.7</v>
      </c>
    </row>
    <row r="6" spans="3:4" ht="9">
      <c r="C6" s="40"/>
      <c r="D6" s="40"/>
    </row>
    <row r="7" spans="1:4" ht="9">
      <c r="A7" s="62" t="s">
        <v>48</v>
      </c>
      <c r="B7" t="s">
        <v>140</v>
      </c>
      <c r="C7" s="40">
        <f>DirettriciEsterne!L63</f>
        <v>26787.200000000004</v>
      </c>
      <c r="D7" s="40">
        <f>DirettriciEsterne!L64</f>
        <v>-15600.5</v>
      </c>
    </row>
    <row r="8" spans="1:4" ht="9">
      <c r="A8" s="62" t="s">
        <v>48</v>
      </c>
      <c r="B8" t="s">
        <v>141</v>
      </c>
      <c r="C8" s="40">
        <f>DirettriciEsterne!L75</f>
        <v>36537.600000000006</v>
      </c>
      <c r="D8" s="40">
        <f>DirettriciEsterne!L76</f>
        <v>-21279</v>
      </c>
    </row>
    <row r="10" spans="1:5" ht="9">
      <c r="A10" s="63" t="s">
        <v>142</v>
      </c>
      <c r="B10" s="16"/>
      <c r="C10" s="16">
        <f>SUM(C2:C9)</f>
        <v>709717.8999999999</v>
      </c>
      <c r="D10" s="16">
        <f>SUM(D2:D9)</f>
        <v>-187578.8</v>
      </c>
      <c r="E10" s="64">
        <f>D10/C10</f>
        <v>-0.26430050587705345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1">
      <pane xSplit="1" topLeftCell="B1" activePane="topRight" state="frozen"/>
      <selection pane="topLeft" activeCell="A1" sqref="A1"/>
      <selection pane="topRight" activeCell="A32" sqref="A32"/>
    </sheetView>
  </sheetViews>
  <sheetFormatPr defaultColWidth="13.7109375" defaultRowHeight="10.5"/>
  <cols>
    <col min="1" max="1" width="23.421875" style="0" customWidth="1"/>
    <col min="2" max="16384" width="14.421875" style="0" customWidth="1"/>
  </cols>
  <sheetData>
    <row r="1" spans="1:2" s="3" customFormat="1" ht="19.5">
      <c r="A1" s="1" t="s">
        <v>143</v>
      </c>
      <c r="B1" s="2" t="s">
        <v>144</v>
      </c>
    </row>
    <row r="2" spans="1:6" ht="9.75">
      <c r="A2" s="48" t="s">
        <v>92</v>
      </c>
      <c r="B2" s="20"/>
      <c r="E2" t="s">
        <v>145</v>
      </c>
      <c r="F2" t="s">
        <v>145</v>
      </c>
    </row>
    <row r="3" spans="1:22" ht="9.75">
      <c r="A3" s="48" t="s">
        <v>94</v>
      </c>
      <c r="B3" s="20"/>
      <c r="C3" t="s">
        <v>146</v>
      </c>
      <c r="G3" t="s">
        <v>146</v>
      </c>
      <c r="J3" t="s">
        <v>146</v>
      </c>
      <c r="R3" t="s">
        <v>146</v>
      </c>
      <c r="S3" t="s">
        <v>146</v>
      </c>
      <c r="T3" t="s">
        <v>146</v>
      </c>
      <c r="U3" t="s">
        <v>146</v>
      </c>
      <c r="V3" t="s">
        <v>146</v>
      </c>
    </row>
    <row r="4" spans="1:22" ht="9.75">
      <c r="A4" s="48" t="s">
        <v>147</v>
      </c>
      <c r="B4" s="10" t="s">
        <v>148</v>
      </c>
      <c r="C4" s="10" t="s">
        <v>148</v>
      </c>
      <c r="D4" s="10" t="s">
        <v>148</v>
      </c>
      <c r="E4" s="10" t="s">
        <v>148</v>
      </c>
      <c r="F4" s="10" t="s">
        <v>148</v>
      </c>
      <c r="G4" s="10" t="s">
        <v>148</v>
      </c>
      <c r="H4" s="10" t="s">
        <v>148</v>
      </c>
      <c r="I4" s="10" t="s">
        <v>148</v>
      </c>
      <c r="J4" s="10" t="s">
        <v>148</v>
      </c>
      <c r="K4" s="10" t="s">
        <v>149</v>
      </c>
      <c r="L4" s="10" t="s">
        <v>149</v>
      </c>
      <c r="M4" s="10" t="s">
        <v>149</v>
      </c>
      <c r="N4" s="10" t="s">
        <v>150</v>
      </c>
      <c r="O4" s="10" t="s">
        <v>150</v>
      </c>
      <c r="P4" s="10" t="s">
        <v>150</v>
      </c>
      <c r="Q4" s="10" t="s">
        <v>150</v>
      </c>
      <c r="R4" s="10" t="s">
        <v>150</v>
      </c>
      <c r="S4" s="10" t="s">
        <v>150</v>
      </c>
      <c r="T4" s="10" t="s">
        <v>150</v>
      </c>
      <c r="U4" s="10" t="s">
        <v>150</v>
      </c>
      <c r="V4" s="10" t="s">
        <v>150</v>
      </c>
    </row>
    <row r="5" spans="2:22" ht="9.75">
      <c r="B5" s="11" t="s">
        <v>9</v>
      </c>
      <c r="C5" s="11" t="s">
        <v>9</v>
      </c>
      <c r="D5" s="11" t="s">
        <v>15</v>
      </c>
      <c r="E5" s="11" t="s">
        <v>9</v>
      </c>
      <c r="F5" s="11" t="s">
        <v>9</v>
      </c>
      <c r="G5" s="11">
        <v>4</v>
      </c>
      <c r="H5" s="11">
        <v>4</v>
      </c>
      <c r="I5" s="11">
        <v>4</v>
      </c>
      <c r="J5" s="11">
        <v>4</v>
      </c>
      <c r="K5" s="11" t="s">
        <v>11</v>
      </c>
      <c r="L5" s="11" t="s">
        <v>11</v>
      </c>
      <c r="M5" s="11" t="s">
        <v>11</v>
      </c>
      <c r="N5" s="11" t="s">
        <v>151</v>
      </c>
      <c r="O5" s="11" t="s">
        <v>11</v>
      </c>
      <c r="P5" s="11" t="s">
        <v>14</v>
      </c>
      <c r="Q5" s="11" t="s">
        <v>14</v>
      </c>
      <c r="R5" s="11" t="s">
        <v>151</v>
      </c>
      <c r="S5" s="11" t="s">
        <v>151</v>
      </c>
      <c r="T5" s="11" t="s">
        <v>151</v>
      </c>
      <c r="U5" s="11" t="s">
        <v>151</v>
      </c>
      <c r="V5" s="11" t="s">
        <v>151</v>
      </c>
    </row>
    <row r="7" spans="1:22" ht="9.75">
      <c r="A7" t="s">
        <v>152</v>
      </c>
      <c r="B7" s="6">
        <v>0.3784722222222222</v>
      </c>
      <c r="C7" s="6">
        <v>0.4930555555555556</v>
      </c>
      <c r="D7" s="6">
        <v>0.4326388888888889</v>
      </c>
      <c r="E7" s="6">
        <v>0.7534722222222222</v>
      </c>
      <c r="F7" s="6">
        <v>0.5972222222222222</v>
      </c>
      <c r="G7" s="6">
        <v>0.3333333333333333</v>
      </c>
      <c r="H7" s="6">
        <v>0.48125</v>
      </c>
      <c r="I7" s="6"/>
      <c r="J7" s="6"/>
      <c r="K7" s="65">
        <v>0.3055555555555556</v>
      </c>
      <c r="L7" s="65">
        <v>0.5819444444444445</v>
      </c>
      <c r="M7" s="65">
        <v>0.7194444444444444</v>
      </c>
      <c r="N7" s="65">
        <v>0.28125</v>
      </c>
      <c r="O7" s="65">
        <v>0.5069444444444444</v>
      </c>
      <c r="P7" s="65">
        <v>0.5486111111111112</v>
      </c>
      <c r="Q7" s="65">
        <v>0.2951388888888889</v>
      </c>
      <c r="R7" s="65">
        <v>0.3611111111111111</v>
      </c>
      <c r="S7" s="65">
        <v>0.5729166666666666</v>
      </c>
      <c r="T7" s="65">
        <v>0.6145833333333334</v>
      </c>
      <c r="U7" s="65">
        <v>0.71875</v>
      </c>
      <c r="V7" s="65">
        <v>0.7916666666666666</v>
      </c>
    </row>
    <row r="8" spans="1:10" ht="9.75">
      <c r="A8" t="s">
        <v>153</v>
      </c>
      <c r="B8" s="6">
        <v>0.37916666666666665</v>
      </c>
      <c r="C8" s="6" t="s">
        <v>154</v>
      </c>
      <c r="D8" s="6"/>
      <c r="E8" s="6" t="s">
        <v>154</v>
      </c>
      <c r="F8" s="6" t="s">
        <v>154</v>
      </c>
      <c r="G8" s="6" t="s">
        <v>154</v>
      </c>
      <c r="H8" s="6" t="s">
        <v>154</v>
      </c>
      <c r="I8" s="6"/>
      <c r="J8" s="6"/>
    </row>
    <row r="9" spans="1:10" ht="9.75">
      <c r="A9" t="s">
        <v>155</v>
      </c>
      <c r="B9" s="6">
        <v>0.3798611111111111</v>
      </c>
      <c r="C9" s="6" t="s">
        <v>154</v>
      </c>
      <c r="D9" s="6"/>
      <c r="E9" s="6" t="s">
        <v>154</v>
      </c>
      <c r="F9" s="6" t="s">
        <v>154</v>
      </c>
      <c r="G9" s="6" t="s">
        <v>154</v>
      </c>
      <c r="H9" s="6" t="s">
        <v>154</v>
      </c>
      <c r="I9" s="6"/>
      <c r="J9" s="6"/>
    </row>
    <row r="10" spans="1:10" ht="9.75">
      <c r="A10" t="s">
        <v>156</v>
      </c>
      <c r="B10" s="6">
        <v>0.38055555555555554</v>
      </c>
      <c r="C10" s="6" t="s">
        <v>154</v>
      </c>
      <c r="D10" s="6"/>
      <c r="E10" s="6" t="s">
        <v>154</v>
      </c>
      <c r="F10" s="6" t="s">
        <v>154</v>
      </c>
      <c r="G10" s="6" t="s">
        <v>154</v>
      </c>
      <c r="H10" s="6" t="s">
        <v>154</v>
      </c>
      <c r="I10" s="6"/>
      <c r="J10" s="6"/>
    </row>
    <row r="11" spans="1:17" ht="9.75">
      <c r="A11" t="s">
        <v>157</v>
      </c>
      <c r="B11" s="6">
        <v>0.38125</v>
      </c>
      <c r="C11" s="6" t="s">
        <v>154</v>
      </c>
      <c r="D11" s="6"/>
      <c r="E11" s="6" t="s">
        <v>154</v>
      </c>
      <c r="F11" s="6" t="s">
        <v>154</v>
      </c>
      <c r="G11" s="6" t="s">
        <v>154</v>
      </c>
      <c r="H11" s="6" t="s">
        <v>154</v>
      </c>
      <c r="I11" s="6"/>
      <c r="J11" s="6"/>
      <c r="Q11" s="65">
        <v>0.2916666666666667</v>
      </c>
    </row>
    <row r="12" spans="1:22" ht="9.75">
      <c r="A12" t="s">
        <v>158</v>
      </c>
      <c r="B12" s="6">
        <v>0.38472222222222224</v>
      </c>
      <c r="C12" s="6" t="s">
        <v>154</v>
      </c>
      <c r="D12" s="6"/>
      <c r="E12" s="6" t="s">
        <v>154</v>
      </c>
      <c r="F12" s="6" t="s">
        <v>154</v>
      </c>
      <c r="G12" s="6" t="s">
        <v>154</v>
      </c>
      <c r="H12" s="6" t="s">
        <v>154</v>
      </c>
      <c r="I12" s="6"/>
      <c r="J12" s="6"/>
      <c r="L12" s="65"/>
      <c r="M12" s="65"/>
      <c r="N12" s="65"/>
      <c r="O12" s="65"/>
      <c r="P12" s="65"/>
      <c r="Q12" s="65">
        <v>0.2881944444444444</v>
      </c>
      <c r="R12" s="65"/>
      <c r="S12" s="65"/>
      <c r="T12" s="65"/>
      <c r="U12" s="65"/>
      <c r="V12" s="65"/>
    </row>
    <row r="13" spans="1:22" ht="9">
      <c r="A13" t="s">
        <v>159</v>
      </c>
      <c r="B13" s="6"/>
      <c r="C13" s="6"/>
      <c r="D13" s="6"/>
      <c r="E13" s="6"/>
      <c r="F13" s="6"/>
      <c r="G13" s="6"/>
      <c r="H13" s="6"/>
      <c r="I13" s="6"/>
      <c r="J13" s="6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10" ht="9.75">
      <c r="A14" t="s">
        <v>152</v>
      </c>
      <c r="B14" s="6">
        <v>0.3875</v>
      </c>
      <c r="C14" s="6">
        <v>0.4840277777777778</v>
      </c>
      <c r="D14" s="6"/>
      <c r="E14" s="6">
        <v>0.7375</v>
      </c>
      <c r="F14" s="6">
        <v>0.6006944444444444</v>
      </c>
      <c r="G14" s="6" t="s">
        <v>154</v>
      </c>
      <c r="H14" s="6" t="s">
        <v>154</v>
      </c>
      <c r="I14" s="6"/>
      <c r="J14" s="6"/>
    </row>
    <row r="15" spans="1:22" ht="9.75">
      <c r="A15" t="s">
        <v>160</v>
      </c>
      <c r="B15" s="6">
        <v>0.3909722222222222</v>
      </c>
      <c r="C15" s="6">
        <v>0.48055555555555557</v>
      </c>
      <c r="D15" s="6"/>
      <c r="E15" s="6" t="s">
        <v>154</v>
      </c>
      <c r="F15" s="6" t="s">
        <v>154</v>
      </c>
      <c r="G15" s="6" t="s">
        <v>154</v>
      </c>
      <c r="H15" s="6" t="s">
        <v>154</v>
      </c>
      <c r="I15" s="6">
        <v>0.375</v>
      </c>
      <c r="J15" s="6">
        <v>0.4840277777777778</v>
      </c>
      <c r="K15" s="65">
        <v>0.3076388888888889</v>
      </c>
      <c r="L15" s="65">
        <v>0.5951388888888889</v>
      </c>
      <c r="M15" s="65">
        <v>0.7326388888888888</v>
      </c>
      <c r="N15" s="65">
        <v>0.2847222222222222</v>
      </c>
      <c r="O15" s="65">
        <v>0.5090277777777777</v>
      </c>
      <c r="P15" s="65">
        <v>0.5506944444444445</v>
      </c>
      <c r="Q15" s="65"/>
      <c r="R15" s="65">
        <v>0.3645833333333333</v>
      </c>
      <c r="S15" s="65">
        <v>0.5763888888888888</v>
      </c>
      <c r="T15" s="65">
        <v>0.6180555555555556</v>
      </c>
      <c r="U15" s="65">
        <v>0.7222222222222222</v>
      </c>
      <c r="V15" s="65">
        <v>0.7951388888888888</v>
      </c>
    </row>
    <row r="16" spans="1:10" ht="9.75">
      <c r="A16" t="s">
        <v>161</v>
      </c>
      <c r="B16" s="6">
        <v>0.39444444444444443</v>
      </c>
      <c r="C16" s="6">
        <v>0.47152777777777777</v>
      </c>
      <c r="D16" s="6">
        <v>0.4361111111111111</v>
      </c>
      <c r="E16" s="6">
        <v>0.7319444444444444</v>
      </c>
      <c r="F16" s="6">
        <v>0.6041666666666666</v>
      </c>
      <c r="G16" s="6">
        <v>0.3416666666666667</v>
      </c>
      <c r="H16" s="6">
        <v>0.4895833333333333</v>
      </c>
      <c r="I16" s="6">
        <v>0.3798611111111111</v>
      </c>
      <c r="J16" s="6">
        <v>0.4791666666666667</v>
      </c>
    </row>
    <row r="17" spans="1:10" ht="9.75">
      <c r="A17" t="s">
        <v>162</v>
      </c>
      <c r="B17" s="6" t="s">
        <v>163</v>
      </c>
      <c r="C17" s="6" t="s">
        <v>163</v>
      </c>
      <c r="D17" s="6" t="s">
        <v>163</v>
      </c>
      <c r="E17" s="6" t="s">
        <v>163</v>
      </c>
      <c r="F17" s="6" t="s">
        <v>163</v>
      </c>
      <c r="G17" s="6" t="s">
        <v>154</v>
      </c>
      <c r="H17" s="6" t="s">
        <v>154</v>
      </c>
      <c r="I17" s="6" t="s">
        <v>154</v>
      </c>
      <c r="J17" s="6" t="s">
        <v>154</v>
      </c>
    </row>
    <row r="18" spans="1:10" ht="9.75">
      <c r="A18" t="s">
        <v>164</v>
      </c>
      <c r="B18" s="6" t="s">
        <v>163</v>
      </c>
      <c r="C18" s="6" t="s">
        <v>163</v>
      </c>
      <c r="D18" s="6" t="s">
        <v>163</v>
      </c>
      <c r="E18" s="6" t="s">
        <v>163</v>
      </c>
      <c r="F18" s="6" t="s">
        <v>163</v>
      </c>
      <c r="G18" s="6" t="s">
        <v>154</v>
      </c>
      <c r="H18" s="6" t="s">
        <v>154</v>
      </c>
      <c r="I18" s="6" t="s">
        <v>154</v>
      </c>
      <c r="J18" s="6" t="s">
        <v>154</v>
      </c>
    </row>
    <row r="19" spans="1:10" ht="9.75">
      <c r="A19" t="s">
        <v>29</v>
      </c>
      <c r="B19" s="6" t="s">
        <v>163</v>
      </c>
      <c r="C19" s="6" t="s">
        <v>163</v>
      </c>
      <c r="D19" s="6" t="s">
        <v>163</v>
      </c>
      <c r="E19" s="6" t="s">
        <v>163</v>
      </c>
      <c r="F19" s="6" t="s">
        <v>163</v>
      </c>
      <c r="G19" s="6" t="s">
        <v>154</v>
      </c>
      <c r="H19" s="6" t="s">
        <v>154</v>
      </c>
      <c r="I19" s="6" t="s">
        <v>154</v>
      </c>
      <c r="J19" s="6" t="s">
        <v>154</v>
      </c>
    </row>
    <row r="20" spans="1:10" ht="9.75">
      <c r="A20" t="s">
        <v>162</v>
      </c>
      <c r="B20" s="6" t="s">
        <v>163</v>
      </c>
      <c r="C20" s="6" t="s">
        <v>163</v>
      </c>
      <c r="D20" s="6" t="s">
        <v>163</v>
      </c>
      <c r="E20" s="6" t="s">
        <v>163</v>
      </c>
      <c r="F20" s="6" t="s">
        <v>163</v>
      </c>
      <c r="G20" s="6" t="s">
        <v>154</v>
      </c>
      <c r="H20" s="6" t="s">
        <v>154</v>
      </c>
      <c r="I20" s="6" t="s">
        <v>154</v>
      </c>
      <c r="J20" s="6" t="s">
        <v>154</v>
      </c>
    </row>
    <row r="21" spans="1:10" ht="9.75">
      <c r="A21" t="s">
        <v>165</v>
      </c>
      <c r="B21" s="6" t="s">
        <v>163</v>
      </c>
      <c r="C21" s="6" t="s">
        <v>163</v>
      </c>
      <c r="D21" s="6" t="s">
        <v>163</v>
      </c>
      <c r="E21" s="6" t="s">
        <v>163</v>
      </c>
      <c r="F21" s="6" t="s">
        <v>163</v>
      </c>
      <c r="G21" s="6" t="s">
        <v>154</v>
      </c>
      <c r="H21" s="6" t="s">
        <v>154</v>
      </c>
      <c r="I21" s="6" t="s">
        <v>154</v>
      </c>
      <c r="J21" s="6" t="s">
        <v>154</v>
      </c>
    </row>
    <row r="22" spans="1:10" ht="9.75">
      <c r="A22" t="s">
        <v>166</v>
      </c>
      <c r="B22" s="6" t="s">
        <v>163</v>
      </c>
      <c r="C22" s="6" t="s">
        <v>163</v>
      </c>
      <c r="D22" s="6" t="s">
        <v>163</v>
      </c>
      <c r="E22" s="6" t="s">
        <v>163</v>
      </c>
      <c r="F22" s="6" t="s">
        <v>163</v>
      </c>
      <c r="G22" s="6" t="s">
        <v>154</v>
      </c>
      <c r="H22" s="6" t="s">
        <v>154</v>
      </c>
      <c r="I22" s="6" t="s">
        <v>154</v>
      </c>
      <c r="J22" s="6" t="s">
        <v>154</v>
      </c>
    </row>
    <row r="23" spans="1:10" ht="9.75">
      <c r="A23" t="s">
        <v>161</v>
      </c>
      <c r="B23" s="6" t="s">
        <v>163</v>
      </c>
      <c r="C23" s="6" t="s">
        <v>163</v>
      </c>
      <c r="D23" s="6" t="s">
        <v>163</v>
      </c>
      <c r="E23" s="6" t="s">
        <v>163</v>
      </c>
      <c r="F23" s="6" t="s">
        <v>163</v>
      </c>
      <c r="G23" s="6" t="s">
        <v>154</v>
      </c>
      <c r="H23" s="6" t="s">
        <v>154</v>
      </c>
      <c r="I23" s="6" t="s">
        <v>154</v>
      </c>
      <c r="J23" s="6" t="s">
        <v>154</v>
      </c>
    </row>
    <row r="24" spans="1:10" ht="9.75">
      <c r="A24" t="s">
        <v>152</v>
      </c>
      <c r="B24" s="6" t="s">
        <v>163</v>
      </c>
      <c r="C24" s="6" t="s">
        <v>163</v>
      </c>
      <c r="D24" s="6" t="s">
        <v>163</v>
      </c>
      <c r="E24" s="6" t="s">
        <v>163</v>
      </c>
      <c r="F24" s="6" t="s">
        <v>163</v>
      </c>
      <c r="G24" s="6" t="s">
        <v>154</v>
      </c>
      <c r="H24" s="6" t="s">
        <v>154</v>
      </c>
      <c r="I24" s="6" t="s">
        <v>154</v>
      </c>
      <c r="J24" s="6" t="s">
        <v>154</v>
      </c>
    </row>
    <row r="26" spans="1:22" ht="9">
      <c r="A26" s="66" t="s">
        <v>167</v>
      </c>
      <c r="B26" s="67">
        <v>17.6</v>
      </c>
      <c r="C26" s="67">
        <v>17.6</v>
      </c>
      <c r="D26" s="67">
        <v>17.6</v>
      </c>
      <c r="E26" s="67">
        <v>17.6</v>
      </c>
      <c r="F26" s="67">
        <v>17.6</v>
      </c>
      <c r="G26" s="67">
        <v>39.4</v>
      </c>
      <c r="H26" s="67">
        <v>39.4</v>
      </c>
      <c r="I26" s="67">
        <v>8.4</v>
      </c>
      <c r="J26" s="67">
        <v>8.4</v>
      </c>
      <c r="K26" s="68">
        <v>2.5</v>
      </c>
      <c r="L26" s="68">
        <v>2.5</v>
      </c>
      <c r="M26" s="68">
        <v>2.5</v>
      </c>
      <c r="N26" s="68">
        <v>2.5</v>
      </c>
      <c r="O26" s="68">
        <v>2.5</v>
      </c>
      <c r="P26" s="68">
        <v>2.5</v>
      </c>
      <c r="Q26" s="68">
        <v>4.2</v>
      </c>
      <c r="R26" s="68">
        <v>2.4</v>
      </c>
      <c r="S26" s="68">
        <v>2.4</v>
      </c>
      <c r="T26" s="68">
        <v>2.4</v>
      </c>
      <c r="U26" s="68">
        <v>2.4</v>
      </c>
      <c r="V26" s="68">
        <v>2.4</v>
      </c>
    </row>
    <row r="27" spans="1:22" ht="9.75">
      <c r="A27" s="66" t="s">
        <v>168</v>
      </c>
      <c r="B27" s="69">
        <f>B16-B7</f>
        <v>0.01597222222222222</v>
      </c>
      <c r="C27" s="69">
        <f>C7-C16</f>
        <v>0.021527777777777812</v>
      </c>
      <c r="D27" s="69">
        <f>D16-D7</f>
        <v>0.00347222222222221</v>
      </c>
      <c r="E27" s="69">
        <f>E7-E16</f>
        <v>0.021527777777777812</v>
      </c>
      <c r="F27" s="69">
        <f>F16-F7</f>
        <v>0.00694444444444442</v>
      </c>
      <c r="G27" s="69">
        <f>G16-G7</f>
        <v>0.00833333333333336</v>
      </c>
      <c r="H27" s="69">
        <f>H16-H7</f>
        <v>0.008333333333333304</v>
      </c>
      <c r="I27" s="69">
        <f>I16-I15</f>
        <v>0.004861111111111094</v>
      </c>
      <c r="J27" s="69">
        <f>J15-J16</f>
        <v>0.004861111111111094</v>
      </c>
      <c r="K27" s="69">
        <f>K15-K7</f>
        <v>0.002083333333333326</v>
      </c>
      <c r="L27" s="69">
        <f>L15-L7</f>
        <v>0.013194444444444398</v>
      </c>
      <c r="M27" s="69">
        <f>M15-M7</f>
        <v>0.013194444444444398</v>
      </c>
      <c r="N27" s="69">
        <f>N15-N7</f>
        <v>0.00347222222222221</v>
      </c>
      <c r="O27" s="69">
        <f>O15-O7</f>
        <v>0.002083333333333326</v>
      </c>
      <c r="P27" s="69">
        <f>P15-P7</f>
        <v>0.002083333333333326</v>
      </c>
      <c r="Q27" s="69">
        <f>Q7-Q12</f>
        <v>0.006944444444444475</v>
      </c>
      <c r="R27" s="69">
        <f>R15-R7</f>
        <v>0.00347222222222221</v>
      </c>
      <c r="S27" s="69">
        <f>S15-S7</f>
        <v>0.00347222222222221</v>
      </c>
      <c r="T27" s="69">
        <f>T15-T7</f>
        <v>0.00347222222222221</v>
      </c>
      <c r="U27" s="69">
        <f>U15-U7</f>
        <v>0.00347222222222221</v>
      </c>
      <c r="V27" s="69">
        <f>V15-V7</f>
        <v>0.00347222222222221</v>
      </c>
    </row>
    <row r="28" spans="1:22" ht="9">
      <c r="A28" s="66" t="s">
        <v>169</v>
      </c>
      <c r="B28" s="70">
        <f>1.1*B26</f>
        <v>19.360000000000003</v>
      </c>
      <c r="C28" s="70">
        <f>1.1*C26</f>
        <v>19.360000000000003</v>
      </c>
      <c r="D28" s="70">
        <f>1.1*D26</f>
        <v>19.360000000000003</v>
      </c>
      <c r="E28" s="70">
        <f>1.1*E26</f>
        <v>19.360000000000003</v>
      </c>
      <c r="F28" s="70">
        <f>1.1*F26</f>
        <v>19.360000000000003</v>
      </c>
      <c r="G28" s="70">
        <f>1.1*G26</f>
        <v>43.34</v>
      </c>
      <c r="H28" s="70">
        <f>1.1*H26</f>
        <v>43.34</v>
      </c>
      <c r="I28" s="70">
        <f>1.1*I26</f>
        <v>9.240000000000002</v>
      </c>
      <c r="J28" s="70">
        <f>1.1*J26</f>
        <v>9.240000000000002</v>
      </c>
      <c r="K28" s="70">
        <f>1.1*K26</f>
        <v>2.75</v>
      </c>
      <c r="L28" s="70">
        <f>1.1*L26</f>
        <v>2.75</v>
      </c>
      <c r="M28" s="70">
        <f>1.1*M26</f>
        <v>2.75</v>
      </c>
      <c r="N28" s="70">
        <f>1.1*N26</f>
        <v>2.75</v>
      </c>
      <c r="O28" s="70">
        <f>1.1*O26</f>
        <v>2.75</v>
      </c>
      <c r="P28" s="70">
        <f>1.1*P26</f>
        <v>2.75</v>
      </c>
      <c r="Q28" s="70">
        <f>1.1*Q26</f>
        <v>4.620000000000001</v>
      </c>
      <c r="R28" s="70">
        <f>1.1*R26</f>
        <v>2.64</v>
      </c>
      <c r="S28" s="70">
        <f>1.1*S26</f>
        <v>2.64</v>
      </c>
      <c r="T28" s="70">
        <f>1.1*T26</f>
        <v>2.64</v>
      </c>
      <c r="U28" s="70">
        <f>1.1*U26</f>
        <v>2.64</v>
      </c>
      <c r="V28" s="70">
        <f>1.1*V26</f>
        <v>2.64</v>
      </c>
    </row>
    <row r="29" spans="1:22" ht="9">
      <c r="A29" s="66" t="s">
        <v>170</v>
      </c>
      <c r="B29" s="70">
        <f>B28/(HOUR(B27)*60+MINUTE(B27))*60</f>
        <v>50.50434782608696</v>
      </c>
      <c r="C29" s="70">
        <f>C28/(HOUR(C27)*60+MINUTE(C27))*60</f>
        <v>37.47096774193549</v>
      </c>
      <c r="D29" s="70">
        <f>D28/(HOUR(D27)*60+MINUTE(D27))*60</f>
        <v>232.32000000000005</v>
      </c>
      <c r="E29" s="70">
        <f>E28/(HOUR(E27)*60+MINUTE(E27))*60</f>
        <v>37.47096774193549</v>
      </c>
      <c r="F29" s="70">
        <f>F28/(HOUR(F27)*60+MINUTE(F27))*60</f>
        <v>116.16000000000003</v>
      </c>
      <c r="G29" s="70">
        <f>G28/(HOUR(G27)*60+MINUTE(G27))*60</f>
        <v>216.70000000000002</v>
      </c>
      <c r="H29" s="70">
        <f>H28/(HOUR(H27)*60+MINUTE(H27))*60</f>
        <v>216.70000000000002</v>
      </c>
      <c r="I29" s="70">
        <f>I28/(HOUR(I27)*60+MINUTE(I27))*60</f>
        <v>79.20000000000002</v>
      </c>
      <c r="J29" s="70">
        <f>J28/(HOUR(J27)*60+MINUTE(J27))*60</f>
        <v>79.20000000000002</v>
      </c>
      <c r="K29" s="70">
        <f>K28/(HOUR(K27)*60+MINUTE(K27))*60</f>
        <v>55</v>
      </c>
      <c r="L29" s="70">
        <f>L28/(HOUR(L27)*60+MINUTE(L27))*60</f>
        <v>8.68421052631579</v>
      </c>
      <c r="M29" s="70">
        <f>M28/(HOUR(M27)*60+MINUTE(M27))*60</f>
        <v>8.68421052631579</v>
      </c>
      <c r="N29" s="70">
        <f>N28/(HOUR(N27)*60+MINUTE(N27))*60</f>
        <v>33</v>
      </c>
      <c r="O29" s="70">
        <f>O28/(HOUR(O27)*60+MINUTE(O27))*60</f>
        <v>55</v>
      </c>
      <c r="P29" s="70">
        <f>P28/(HOUR(P27)*60+MINUTE(P27))*60</f>
        <v>55</v>
      </c>
      <c r="Q29" s="70">
        <f>Q28/(HOUR(Q27)*60+MINUTE(Q27))*60</f>
        <v>27.720000000000006</v>
      </c>
      <c r="R29" s="70">
        <f>R28/(HOUR(R27)*60+MINUTE(R27))*60</f>
        <v>31.68</v>
      </c>
      <c r="S29" s="70">
        <f>S28/(HOUR(S27)*60+MINUTE(S27))*60</f>
        <v>31.68</v>
      </c>
      <c r="T29" s="70">
        <f>T28/(HOUR(T27)*60+MINUTE(T27))*60</f>
        <v>31.68</v>
      </c>
      <c r="U29" s="70">
        <f>U28/(HOUR(U27)*60+MINUTE(U27))*60</f>
        <v>31.68</v>
      </c>
      <c r="V29" s="70">
        <f>V28/(HOUR(V27)*60+MINUTE(V27))*60</f>
        <v>31.68</v>
      </c>
    </row>
    <row r="30" spans="1:22" ht="9">
      <c r="A30" s="66" t="s">
        <v>171</v>
      </c>
      <c r="B30" s="67">
        <v>302</v>
      </c>
      <c r="C30" s="67">
        <v>302</v>
      </c>
      <c r="D30" s="67">
        <v>231</v>
      </c>
      <c r="E30" s="67">
        <v>302</v>
      </c>
      <c r="F30" s="67">
        <v>302</v>
      </c>
      <c r="G30" s="67">
        <v>50</v>
      </c>
      <c r="H30" s="67">
        <v>50</v>
      </c>
      <c r="I30" s="67">
        <v>50</v>
      </c>
      <c r="J30" s="67">
        <v>50</v>
      </c>
      <c r="K30" s="67">
        <v>207</v>
      </c>
      <c r="L30" s="67">
        <v>207</v>
      </c>
      <c r="M30" s="67">
        <v>207</v>
      </c>
      <c r="N30" s="67">
        <v>277</v>
      </c>
      <c r="O30" s="67">
        <v>207</v>
      </c>
      <c r="P30" s="67">
        <v>173</v>
      </c>
      <c r="Q30" s="67">
        <v>173</v>
      </c>
      <c r="R30" s="67">
        <v>277</v>
      </c>
      <c r="S30" s="67">
        <v>277</v>
      </c>
      <c r="T30" s="67">
        <v>277</v>
      </c>
      <c r="U30" s="67">
        <v>277</v>
      </c>
      <c r="V30" s="67">
        <v>277</v>
      </c>
    </row>
    <row r="31" spans="1:22" ht="9">
      <c r="A31" s="66" t="s">
        <v>172</v>
      </c>
      <c r="B31" s="70">
        <f>B30*B28</f>
        <v>5846.720000000001</v>
      </c>
      <c r="C31" s="70">
        <f>C30*C28</f>
        <v>5846.720000000001</v>
      </c>
      <c r="D31" s="70">
        <f>D30*D28</f>
        <v>4472.160000000001</v>
      </c>
      <c r="E31" s="70">
        <f>E30*E28</f>
        <v>5846.720000000001</v>
      </c>
      <c r="F31" s="70">
        <f>F30*F28</f>
        <v>5846.720000000001</v>
      </c>
      <c r="G31" s="70">
        <f>G30*G28</f>
        <v>2167</v>
      </c>
      <c r="H31" s="70">
        <f>H30*H28</f>
        <v>2167</v>
      </c>
      <c r="I31" s="70">
        <f>I30*I28</f>
        <v>462.0000000000001</v>
      </c>
      <c r="J31" s="70">
        <f>J30*J28</f>
        <v>462.0000000000001</v>
      </c>
      <c r="K31" s="70">
        <f>K30*K28</f>
        <v>569.25</v>
      </c>
      <c r="L31" s="70">
        <f>L30*L28</f>
        <v>569.25</v>
      </c>
      <c r="M31" s="70">
        <f>M30*M28</f>
        <v>569.25</v>
      </c>
      <c r="N31" s="70">
        <f>N30*N28</f>
        <v>761.75</v>
      </c>
      <c r="O31" s="70">
        <f>O30*O28</f>
        <v>569.25</v>
      </c>
      <c r="P31" s="70">
        <f>P30*P28</f>
        <v>475.75</v>
      </c>
      <c r="Q31" s="70">
        <f>Q30*Q28</f>
        <v>799.2600000000002</v>
      </c>
      <c r="R31" s="70">
        <f>R30*R28</f>
        <v>731.2800000000001</v>
      </c>
      <c r="S31" s="70">
        <f>S30*S28</f>
        <v>731.2800000000001</v>
      </c>
      <c r="T31" s="70">
        <f>T30*T28</f>
        <v>731.2800000000001</v>
      </c>
      <c r="U31" s="70">
        <f>U30*U28</f>
        <v>731.2800000000001</v>
      </c>
      <c r="V31" s="70">
        <f>V30*V28</f>
        <v>731.2800000000001</v>
      </c>
    </row>
    <row r="32" spans="1:22" ht="9">
      <c r="A32" s="66" t="s">
        <v>173</v>
      </c>
      <c r="B32" s="67">
        <f>B26*B30</f>
        <v>5315.200000000001</v>
      </c>
      <c r="C32" s="67">
        <f>C26*C30</f>
        <v>5315.200000000001</v>
      </c>
      <c r="D32" s="67">
        <f>D26*D30</f>
        <v>4065.6000000000004</v>
      </c>
      <c r="E32" s="67">
        <f>E26*E30</f>
        <v>5315.200000000001</v>
      </c>
      <c r="F32" s="67">
        <f>F26*F30</f>
        <v>5315.200000000001</v>
      </c>
      <c r="G32" s="67">
        <f>G26*G30</f>
        <v>1970</v>
      </c>
      <c r="H32" s="67">
        <f>H26*H30</f>
        <v>1970</v>
      </c>
      <c r="I32" s="67">
        <f>I26*I30</f>
        <v>420</v>
      </c>
      <c r="J32" s="67">
        <f>J26*J30</f>
        <v>420</v>
      </c>
      <c r="K32" s="67">
        <f>K26*K30</f>
        <v>517.5</v>
      </c>
      <c r="L32" s="67">
        <f>L26*L30</f>
        <v>517.5</v>
      </c>
      <c r="M32" s="67">
        <f>M26*M30</f>
        <v>517.5</v>
      </c>
      <c r="N32" s="67">
        <f>N26*N30</f>
        <v>692.5</v>
      </c>
      <c r="O32" s="67">
        <f>O26*O30</f>
        <v>517.5</v>
      </c>
      <c r="P32" s="67">
        <f>P26*P30</f>
        <v>432.5</v>
      </c>
      <c r="Q32" s="67">
        <f>Q26*Q30</f>
        <v>726.6</v>
      </c>
      <c r="R32" s="67">
        <f>R26*R30</f>
        <v>664.8</v>
      </c>
      <c r="S32" s="67">
        <f>S26*S30</f>
        <v>664.8</v>
      </c>
      <c r="T32" s="67">
        <f>T26*T30</f>
        <v>664.8</v>
      </c>
      <c r="U32" s="67">
        <f>U26*U30</f>
        <v>664.8</v>
      </c>
      <c r="V32" s="67">
        <f>V26*V30</f>
        <v>664.8</v>
      </c>
    </row>
    <row r="35" ht="9">
      <c r="A35" s="16" t="s">
        <v>174</v>
      </c>
    </row>
    <row r="36" spans="1:2" ht="9">
      <c r="A36" t="s">
        <v>175</v>
      </c>
      <c r="B36" s="71">
        <f>SUM(B31:BW31)</f>
        <v>41087.2</v>
      </c>
    </row>
    <row r="37" spans="1:2" ht="9">
      <c r="A37" t="s">
        <v>176</v>
      </c>
      <c r="B37" s="71">
        <v>35</v>
      </c>
    </row>
    <row r="38" spans="1:2" ht="9">
      <c r="A38" t="s">
        <v>177</v>
      </c>
      <c r="B38" s="40">
        <f>B36/B37</f>
        <v>1173.9199999999998</v>
      </c>
    </row>
    <row r="39" spans="1:2" ht="9">
      <c r="A39" t="s">
        <v>178</v>
      </c>
      <c r="B39" s="40">
        <f>B38/302</f>
        <v>3.887152317880794</v>
      </c>
    </row>
    <row r="40" spans="1:2" ht="9">
      <c r="A40" t="s">
        <v>179</v>
      </c>
      <c r="B40" s="40">
        <f>SUM(B32:BY32)</f>
        <v>37352</v>
      </c>
    </row>
    <row r="41" spans="1:2" ht="9">
      <c r="A41" t="s">
        <v>180</v>
      </c>
      <c r="B41" s="72">
        <f>B40/302</f>
        <v>123.68211920529801</v>
      </c>
    </row>
    <row r="43" spans="1:22" s="75" customFormat="1" ht="9">
      <c r="A43" s="73" t="s">
        <v>181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 t="s">
        <v>182</v>
      </c>
      <c r="M43" s="73" t="s">
        <v>183</v>
      </c>
      <c r="N43" s="74">
        <v>0.2951388888888889</v>
      </c>
      <c r="O43" s="74">
        <v>0.5159722222222223</v>
      </c>
      <c r="P43" s="74">
        <v>0.5576388888888889</v>
      </c>
      <c r="Q43" s="74">
        <v>0.2951388888888889</v>
      </c>
      <c r="R43" s="74">
        <v>0.3611111111111111</v>
      </c>
      <c r="S43" s="74">
        <v>0.5729166666666666</v>
      </c>
      <c r="T43" s="74">
        <v>0.6145833333333334</v>
      </c>
      <c r="U43" s="74">
        <v>0.71875</v>
      </c>
      <c r="V43" s="74">
        <v>0.7916666666666666</v>
      </c>
    </row>
    <row r="44" ht="9">
      <c r="A44" s="20" t="s">
        <v>184</v>
      </c>
    </row>
    <row r="45" ht="9">
      <c r="A45" s="20" t="s">
        <v>185</v>
      </c>
    </row>
    <row r="46" ht="9">
      <c r="A46" s="20" t="s">
        <v>186</v>
      </c>
    </row>
    <row r="49" spans="1:2" s="3" customFormat="1" ht="19.5">
      <c r="A49" s="1" t="s">
        <v>187</v>
      </c>
      <c r="B49" s="2" t="s">
        <v>188</v>
      </c>
    </row>
    <row r="50" ht="9.75">
      <c r="A50" s="48" t="s">
        <v>92</v>
      </c>
    </row>
    <row r="51" spans="1:8" ht="9.75">
      <c r="A51" s="48" t="s">
        <v>94</v>
      </c>
      <c r="D51" t="s">
        <v>189</v>
      </c>
      <c r="E51" t="s">
        <v>189</v>
      </c>
      <c r="F51" t="s">
        <v>189</v>
      </c>
      <c r="H51" t="s">
        <v>189</v>
      </c>
    </row>
    <row r="52" spans="1:12" ht="9.75">
      <c r="A52" s="48" t="s">
        <v>147</v>
      </c>
      <c r="B52" s="10" t="s">
        <v>190</v>
      </c>
      <c r="C52" s="10" t="s">
        <v>190</v>
      </c>
      <c r="D52" s="10" t="s">
        <v>191</v>
      </c>
      <c r="E52" s="10" t="s">
        <v>191</v>
      </c>
      <c r="F52" s="10" t="s">
        <v>191</v>
      </c>
      <c r="G52" s="10" t="s">
        <v>148</v>
      </c>
      <c r="H52" s="10" t="s">
        <v>148</v>
      </c>
      <c r="I52" s="10" t="s">
        <v>148</v>
      </c>
      <c r="J52" s="10" t="s">
        <v>148</v>
      </c>
      <c r="K52" s="10"/>
      <c r="L52" s="10"/>
    </row>
    <row r="53" spans="2:12" ht="9.75">
      <c r="B53" s="11" t="s">
        <v>70</v>
      </c>
      <c r="C53" s="11">
        <v>3</v>
      </c>
      <c r="D53" s="11" t="s">
        <v>70</v>
      </c>
      <c r="E53" s="11">
        <v>3</v>
      </c>
      <c r="F53" s="11">
        <v>3</v>
      </c>
      <c r="G53" s="11" t="s">
        <v>9</v>
      </c>
      <c r="H53" s="11" t="s">
        <v>9</v>
      </c>
      <c r="I53" s="11" t="s">
        <v>9</v>
      </c>
      <c r="J53" s="11" t="s">
        <v>9</v>
      </c>
      <c r="K53" s="11"/>
      <c r="L53" s="11"/>
    </row>
    <row r="55" spans="1:28" ht="9.75">
      <c r="A55" t="s">
        <v>162</v>
      </c>
      <c r="B55" s="6">
        <v>0.28194444444444444</v>
      </c>
      <c r="C55" s="6">
        <v>0.3541666666666667</v>
      </c>
      <c r="D55" s="6">
        <v>0.4409722222222222</v>
      </c>
      <c r="E55" s="6">
        <v>0.5243055555555556</v>
      </c>
      <c r="F55" s="6">
        <v>0.6145833333333334</v>
      </c>
      <c r="G55" s="6">
        <v>0.4</v>
      </c>
      <c r="H55" s="6">
        <v>0.47152777777777777</v>
      </c>
      <c r="I55" s="6">
        <v>0.6361111111111111</v>
      </c>
      <c r="J55" s="6">
        <v>0.7319444444444444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9.75">
      <c r="A56" t="s">
        <v>164</v>
      </c>
      <c r="B56" s="6"/>
      <c r="C56" s="6"/>
      <c r="D56" s="6"/>
      <c r="E56" s="6"/>
      <c r="F56" s="6"/>
      <c r="G56" s="6">
        <v>0.4048611111111111</v>
      </c>
      <c r="H56" s="6">
        <v>0.4666666666666667</v>
      </c>
      <c r="I56" s="6">
        <v>0.6409722222222223</v>
      </c>
      <c r="J56" s="6">
        <v>0.7270833333333333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9.75">
      <c r="A57" t="s">
        <v>29</v>
      </c>
      <c r="B57" s="6">
        <v>0.2861111111111111</v>
      </c>
      <c r="C57" s="6">
        <v>0.3576388888888889</v>
      </c>
      <c r="D57" s="6">
        <v>0.4444444444444444</v>
      </c>
      <c r="E57" s="6">
        <v>0.5277777777777778</v>
      </c>
      <c r="F57" s="6">
        <v>0.6180555555555556</v>
      </c>
      <c r="G57" s="6">
        <v>0.41180555555555554</v>
      </c>
      <c r="H57" s="6">
        <v>0.4597222222222222</v>
      </c>
      <c r="I57" s="6">
        <v>0.6479166666666667</v>
      </c>
      <c r="J57" s="6">
        <v>0.7201388888888889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9.75">
      <c r="A58" t="s">
        <v>192</v>
      </c>
      <c r="B58" s="6">
        <v>0.29375</v>
      </c>
      <c r="C58" s="6">
        <v>0.3645833333333333</v>
      </c>
      <c r="D58" s="6">
        <v>0.4375</v>
      </c>
      <c r="E58" s="6">
        <v>0.53125</v>
      </c>
      <c r="F58" s="6">
        <v>0.6111111111111112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60" spans="1:10" ht="9">
      <c r="A60" s="66" t="s">
        <v>167</v>
      </c>
      <c r="B60" s="67">
        <v>9</v>
      </c>
      <c r="C60" s="67">
        <v>9</v>
      </c>
      <c r="D60" s="67">
        <v>9</v>
      </c>
      <c r="E60" s="67">
        <v>9</v>
      </c>
      <c r="F60" s="67">
        <v>9</v>
      </c>
      <c r="G60" s="68">
        <f>39.4-7.6</f>
        <v>31.799999999999997</v>
      </c>
      <c r="H60" s="68">
        <f>39.4-7.6</f>
        <v>31.799999999999997</v>
      </c>
      <c r="I60" s="68">
        <f>39.4-7.6</f>
        <v>31.799999999999997</v>
      </c>
      <c r="J60" s="68">
        <f>39.4-7.6</f>
        <v>31.799999999999997</v>
      </c>
    </row>
    <row r="61" spans="1:10" ht="9.75">
      <c r="A61" s="66" t="s">
        <v>168</v>
      </c>
      <c r="B61" s="69">
        <f>B58-B55</f>
        <v>0.011805555555555569</v>
      </c>
      <c r="C61" s="69">
        <f>C58-C55</f>
        <v>0.01041666666666663</v>
      </c>
      <c r="D61" s="69">
        <f>D57-D58</f>
        <v>0.00694444444444442</v>
      </c>
      <c r="E61" s="69">
        <f>E58-E55</f>
        <v>0.00694444444444442</v>
      </c>
      <c r="F61" s="69">
        <f>F57-F58</f>
        <v>0.00694444444444442</v>
      </c>
      <c r="G61" s="69">
        <f>G57-G55</f>
        <v>0.011805555555555514</v>
      </c>
      <c r="H61" s="69">
        <f>H55-H57</f>
        <v>0.011805555555555569</v>
      </c>
      <c r="I61" s="69">
        <f>I57-I55</f>
        <v>0.011805555555555625</v>
      </c>
      <c r="J61" s="69">
        <f>J55-J57</f>
        <v>0.011805555555555514</v>
      </c>
    </row>
    <row r="62" spans="1:10" ht="9">
      <c r="A62" s="66" t="s">
        <v>169</v>
      </c>
      <c r="B62" s="70">
        <f>1.1*B60</f>
        <v>9.9</v>
      </c>
      <c r="C62" s="70">
        <f>1.1*C60</f>
        <v>9.9</v>
      </c>
      <c r="D62" s="70">
        <f>1.1*D60</f>
        <v>9.9</v>
      </c>
      <c r="E62" s="70">
        <f>1.1*E60</f>
        <v>9.9</v>
      </c>
      <c r="F62" s="70">
        <f>1.1*F60</f>
        <v>9.9</v>
      </c>
      <c r="G62" s="70">
        <f>1.1*G60</f>
        <v>34.98</v>
      </c>
      <c r="H62" s="70">
        <f>1.1*H60</f>
        <v>34.98</v>
      </c>
      <c r="I62" s="70">
        <f>1.1*I60</f>
        <v>34.98</v>
      </c>
      <c r="J62" s="70">
        <f>1.1*J60</f>
        <v>34.98</v>
      </c>
    </row>
    <row r="63" spans="1:10" ht="9">
      <c r="A63" s="66" t="s">
        <v>170</v>
      </c>
      <c r="B63" s="70">
        <f>B62/(HOUR(B61)*60+MINUTE(B61))*60</f>
        <v>34.94117647058824</v>
      </c>
      <c r="C63" s="70">
        <f>C62/(HOUR(C61)*60+MINUTE(C61))*60</f>
        <v>39.6</v>
      </c>
      <c r="D63" s="70">
        <f>D62/(HOUR(D61)*60+MINUTE(D61))*60</f>
        <v>59.4</v>
      </c>
      <c r="E63" s="70">
        <f>E62/(HOUR(E61)*60+MINUTE(E61))*60</f>
        <v>59.4</v>
      </c>
      <c r="F63" s="70">
        <f>F62/(HOUR(F61)*60+MINUTE(F61))*60</f>
        <v>59.4</v>
      </c>
      <c r="G63" s="70">
        <f>G62/(HOUR(G61)*60+MINUTE(G61))*60</f>
        <v>123.45882352941176</v>
      </c>
      <c r="H63" s="70">
        <f>H62/(HOUR(H61)*60+MINUTE(H61))*60</f>
        <v>123.45882352941176</v>
      </c>
      <c r="I63" s="70">
        <f>I62/(HOUR(I61)*60+MINUTE(I61))*60</f>
        <v>123.45882352941176</v>
      </c>
      <c r="J63" s="70">
        <f>J62/(HOUR(J61)*60+MINUTE(J61))*60</f>
        <v>123.45882352941176</v>
      </c>
    </row>
    <row r="64" spans="1:10" ht="9">
      <c r="A64" s="66" t="s">
        <v>171</v>
      </c>
      <c r="B64" s="67">
        <v>231</v>
      </c>
      <c r="C64" s="67">
        <v>52</v>
      </c>
      <c r="D64" s="67">
        <v>231</v>
      </c>
      <c r="E64" s="67">
        <v>52</v>
      </c>
      <c r="F64" s="67">
        <v>52</v>
      </c>
      <c r="G64" s="67">
        <v>52</v>
      </c>
      <c r="H64" s="67">
        <v>302</v>
      </c>
      <c r="I64" s="67">
        <v>302</v>
      </c>
      <c r="J64" s="67">
        <v>302</v>
      </c>
    </row>
    <row r="65" spans="1:10" ht="9">
      <c r="A65" s="66" t="s">
        <v>172</v>
      </c>
      <c r="B65" s="70">
        <f>B64*B62</f>
        <v>2286.9</v>
      </c>
      <c r="C65" s="70">
        <f>C64*C62</f>
        <v>514.8000000000001</v>
      </c>
      <c r="D65" s="70">
        <f>D64*D62</f>
        <v>2286.9</v>
      </c>
      <c r="E65" s="70">
        <f>E64*E62</f>
        <v>514.8000000000001</v>
      </c>
      <c r="F65" s="70">
        <f>F64*F62</f>
        <v>514.8000000000001</v>
      </c>
      <c r="G65" s="70">
        <f>G64*G62</f>
        <v>1818.9599999999998</v>
      </c>
      <c r="H65" s="70">
        <f>H64*H62</f>
        <v>10563.96</v>
      </c>
      <c r="I65" s="70">
        <f>I64*I62</f>
        <v>10563.96</v>
      </c>
      <c r="J65" s="70">
        <f>J64*J62</f>
        <v>10563.96</v>
      </c>
    </row>
    <row r="66" spans="1:10" ht="9">
      <c r="A66" s="66" t="s">
        <v>173</v>
      </c>
      <c r="B66" s="67">
        <f>B60*B64</f>
        <v>2079</v>
      </c>
      <c r="C66" s="67">
        <f>C60*C64</f>
        <v>468</v>
      </c>
      <c r="D66" s="67">
        <f>D60*D64</f>
        <v>2079</v>
      </c>
      <c r="E66" s="67">
        <f>E60*E64</f>
        <v>468</v>
      </c>
      <c r="F66" s="67">
        <f>F60*F64</f>
        <v>468</v>
      </c>
      <c r="G66" s="67">
        <f>G60*G64</f>
        <v>1653.6</v>
      </c>
      <c r="H66" s="67">
        <f>H60*H64</f>
        <v>9603.599999999999</v>
      </c>
      <c r="I66" s="67">
        <f>I60*I64</f>
        <v>9603.599999999999</v>
      </c>
      <c r="J66" s="67">
        <f>J60*J64</f>
        <v>9603.599999999999</v>
      </c>
    </row>
    <row r="69" spans="1:6" ht="9">
      <c r="A69" s="16" t="s">
        <v>174</v>
      </c>
      <c r="B69" s="71"/>
      <c r="C69" s="71"/>
      <c r="D69" s="71"/>
      <c r="E69" s="71"/>
      <c r="F69" s="71"/>
    </row>
    <row r="70" spans="1:6" ht="9">
      <c r="A70" t="s">
        <v>175</v>
      </c>
      <c r="B70" s="71">
        <f>SUM(B65:BW65)</f>
        <v>39629.04</v>
      </c>
      <c r="C70" s="71"/>
      <c r="D70" s="71"/>
      <c r="E70" s="71"/>
      <c r="F70" s="71"/>
    </row>
    <row r="71" spans="1:6" ht="9">
      <c r="A71" t="s">
        <v>176</v>
      </c>
      <c r="B71" s="71">
        <v>35</v>
      </c>
      <c r="C71" s="71"/>
      <c r="D71" s="71"/>
      <c r="E71" s="71"/>
      <c r="F71" s="71"/>
    </row>
    <row r="72" spans="1:6" ht="9">
      <c r="A72" t="s">
        <v>177</v>
      </c>
      <c r="B72" s="40">
        <f>B70/B71</f>
        <v>1132.2582857142856</v>
      </c>
      <c r="C72" s="40"/>
      <c r="D72" s="40"/>
      <c r="E72" s="40"/>
      <c r="F72" s="40"/>
    </row>
    <row r="73" spans="1:6" ht="9">
      <c r="A73" t="s">
        <v>178</v>
      </c>
      <c r="B73" s="40">
        <f>B72/302</f>
        <v>3.749199621570482</v>
      </c>
      <c r="C73" s="40"/>
      <c r="D73" s="40"/>
      <c r="E73" s="40"/>
      <c r="F73" s="40"/>
    </row>
    <row r="74" spans="1:6" ht="9">
      <c r="A74" t="s">
        <v>179</v>
      </c>
      <c r="B74" s="40">
        <f>SUM(B66:BY66)</f>
        <v>36026.399999999994</v>
      </c>
      <c r="C74" s="40"/>
      <c r="D74" s="40"/>
      <c r="E74" s="40"/>
      <c r="F74" s="40"/>
    </row>
    <row r="75" spans="1:2" ht="9">
      <c r="A75" t="s">
        <v>180</v>
      </c>
      <c r="B75" s="72">
        <f>B74/302</f>
        <v>119.29271523178807</v>
      </c>
    </row>
    <row r="77" ht="9">
      <c r="A77" s="17" t="s">
        <v>181</v>
      </c>
    </row>
    <row r="78" ht="9">
      <c r="A78" s="20" t="s">
        <v>184</v>
      </c>
    </row>
    <row r="79" spans="1:10" s="73" customFormat="1" ht="9">
      <c r="A79" s="73" t="s">
        <v>185</v>
      </c>
      <c r="B79" s="76">
        <v>0.28194444444444444</v>
      </c>
      <c r="C79" s="76">
        <v>0.33541666666666664</v>
      </c>
      <c r="D79" s="76">
        <v>0.4409722222222222</v>
      </c>
      <c r="E79" s="76">
        <v>0.5243055555555556</v>
      </c>
      <c r="F79" s="76">
        <v>0.6145833333333334</v>
      </c>
      <c r="G79" s="76">
        <v>0.4</v>
      </c>
      <c r="H79" s="76">
        <v>0.47152777777777777</v>
      </c>
      <c r="I79" s="76">
        <v>0.6361111111111111</v>
      </c>
      <c r="J79" s="76">
        <v>0.7319444444444444</v>
      </c>
    </row>
    <row r="80" ht="9">
      <c r="A80" s="20" t="s">
        <v>186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&amp;C&amp;"Arial,Normale"&amp;10&amp;A</oddHeader>
    <oddFooter>&amp;C&amp;"Arial,Normale"&amp;10Pagina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workbookViewId="0" topLeftCell="A1">
      <selection activeCell="A1" sqref="A1"/>
    </sheetView>
  </sheetViews>
  <sheetFormatPr defaultColWidth="13.7109375" defaultRowHeight="10.5"/>
  <cols>
    <col min="1" max="1" width="5.140625" style="77" customWidth="1"/>
    <col min="3" max="3" width="14.421875" style="20" customWidth="1"/>
  </cols>
  <sheetData>
    <row r="1" spans="2:3" ht="13.5">
      <c r="B1" s="78" t="s">
        <v>193</v>
      </c>
      <c r="C1" s="78" t="s">
        <v>194</v>
      </c>
    </row>
    <row r="2" spans="2:3" ht="13.5">
      <c r="B2" s="78"/>
      <c r="C2" s="78"/>
    </row>
    <row r="3" spans="1:3" ht="13.5">
      <c r="A3" s="77">
        <v>4</v>
      </c>
      <c r="C3" s="79">
        <v>0.20555555555555555</v>
      </c>
    </row>
    <row r="4" ht="13.5">
      <c r="C4" s="79"/>
    </row>
    <row r="5" spans="1:3" ht="13.5">
      <c r="A5" s="77">
        <v>5</v>
      </c>
      <c r="B5" s="65">
        <v>0.24027777777777778</v>
      </c>
      <c r="C5" s="79">
        <v>0.24930555555555556</v>
      </c>
    </row>
    <row r="6" spans="2:3" ht="13.5">
      <c r="B6" s="65"/>
      <c r="C6" s="79"/>
    </row>
    <row r="7" spans="1:3" ht="13.5">
      <c r="A7" s="77">
        <v>6</v>
      </c>
      <c r="B7" s="65">
        <v>0.2590277777777778</v>
      </c>
      <c r="C7" s="79">
        <v>0.2791666666666667</v>
      </c>
    </row>
    <row r="8" ht="13.5">
      <c r="B8" s="65">
        <v>0.2722222222222222</v>
      </c>
    </row>
    <row r="9" spans="2:3" ht="13.5">
      <c r="B9" s="65"/>
      <c r="C9" s="79"/>
    </row>
    <row r="10" spans="1:3" ht="13.5">
      <c r="A10" s="77">
        <v>7</v>
      </c>
      <c r="B10" s="65">
        <v>0.30277777777777776</v>
      </c>
      <c r="C10" s="79">
        <v>0.3013888888888889</v>
      </c>
    </row>
    <row r="11" spans="2:3" ht="13.5">
      <c r="B11" s="65">
        <v>0.33194444444444443</v>
      </c>
      <c r="C11" s="79">
        <v>0.31805555555555554</v>
      </c>
    </row>
    <row r="12" ht="13.5">
      <c r="B12" s="65">
        <v>0.3236111111111111</v>
      </c>
    </row>
    <row r="13" ht="13.5">
      <c r="B13" s="65"/>
    </row>
    <row r="14" spans="2:3" ht="13.5">
      <c r="B14" s="65"/>
      <c r="C14" s="79"/>
    </row>
    <row r="15" spans="1:3" ht="13.5">
      <c r="A15" s="77">
        <v>8</v>
      </c>
      <c r="B15" s="65">
        <v>0.36527777777777776</v>
      </c>
      <c r="C15" s="79">
        <v>0.3423611111111111</v>
      </c>
    </row>
    <row r="16" spans="2:3" ht="13.5">
      <c r="B16" s="65"/>
      <c r="C16" s="79">
        <v>0.3638888888888889</v>
      </c>
    </row>
    <row r="17" spans="2:3" ht="13.5">
      <c r="B17" s="65"/>
      <c r="C17" s="79">
        <v>0.37430555555555556</v>
      </c>
    </row>
    <row r="18" spans="2:3" ht="13.5">
      <c r="B18" s="65"/>
      <c r="C18" s="79"/>
    </row>
    <row r="19" spans="1:3" ht="13.5">
      <c r="A19" s="77">
        <v>9</v>
      </c>
      <c r="B19" s="65">
        <v>0.3770833333333333</v>
      </c>
      <c r="C19" s="79">
        <v>0.4152777777777778</v>
      </c>
    </row>
    <row r="20" spans="2:3" ht="13.5">
      <c r="B20" s="65"/>
      <c r="C20" s="79"/>
    </row>
    <row r="21" spans="1:3" ht="13.5">
      <c r="A21" s="77">
        <v>10</v>
      </c>
      <c r="B21" s="65">
        <v>0.43819444444444444</v>
      </c>
      <c r="C21" s="79">
        <v>0.425</v>
      </c>
    </row>
    <row r="22" spans="2:3" ht="13.5">
      <c r="B22" s="65"/>
      <c r="C22" s="79"/>
    </row>
    <row r="23" spans="1:3" ht="13.5">
      <c r="A23" s="77">
        <v>11</v>
      </c>
      <c r="B23" s="65">
        <v>0.49027777777777776</v>
      </c>
      <c r="C23" s="79">
        <v>0.46041666666666664</v>
      </c>
    </row>
    <row r="24" ht="13.5">
      <c r="B24" s="65">
        <v>0.4979166666666667</v>
      </c>
    </row>
    <row r="25" spans="2:3" ht="13.5">
      <c r="B25" s="65"/>
      <c r="C25" s="79"/>
    </row>
    <row r="26" spans="1:3" ht="13.5">
      <c r="A26" s="77">
        <v>12</v>
      </c>
      <c r="B26" s="65">
        <v>0.5333333333333333</v>
      </c>
      <c r="C26" s="79">
        <v>0.5402777777777777</v>
      </c>
    </row>
    <row r="27" ht="13.5">
      <c r="B27" s="65"/>
    </row>
    <row r="28" ht="13.5">
      <c r="B28" s="65"/>
    </row>
    <row r="29" spans="1:3" ht="13.5">
      <c r="A29" s="77">
        <v>13</v>
      </c>
      <c r="B29" s="65">
        <v>0.5736111111111111</v>
      </c>
      <c r="C29" s="79">
        <v>0.55</v>
      </c>
    </row>
    <row r="30" ht="13.5">
      <c r="B30" s="65">
        <v>0.5805555555555556</v>
      </c>
    </row>
    <row r="32" spans="1:3" ht="13.5">
      <c r="A32" s="77">
        <v>14</v>
      </c>
      <c r="B32" s="65">
        <v>0.6152777777777778</v>
      </c>
      <c r="C32" s="79">
        <v>0.5833333333333334</v>
      </c>
    </row>
    <row r="33" spans="2:3" ht="13.5">
      <c r="B33" s="65"/>
      <c r="C33" s="79">
        <v>0.5916666666666667</v>
      </c>
    </row>
    <row r="34" spans="2:3" ht="13.5">
      <c r="B34" s="65"/>
      <c r="C34" s="79">
        <v>0.5993055555555555</v>
      </c>
    </row>
    <row r="35" spans="2:3" ht="13.5">
      <c r="B35" s="65"/>
      <c r="C35" s="79">
        <v>0.6243055555555556</v>
      </c>
    </row>
    <row r="36" spans="2:3" ht="13.5">
      <c r="B36" s="65"/>
      <c r="C36" s="79"/>
    </row>
    <row r="37" spans="1:3" ht="13.5">
      <c r="A37" s="77">
        <v>15</v>
      </c>
      <c r="B37" s="65">
        <v>0.6263888888888889</v>
      </c>
      <c r="C37" s="79">
        <v>0.6333333333333333</v>
      </c>
    </row>
    <row r="38" ht="13.5">
      <c r="B38" s="65">
        <v>0.6659722222222222</v>
      </c>
    </row>
    <row r="39" ht="13.5">
      <c r="B39" s="65">
        <v>0.6569444444444444</v>
      </c>
    </row>
    <row r="40" ht="13.5">
      <c r="B40" s="65"/>
    </row>
    <row r="41" spans="1:3" ht="13.5">
      <c r="A41" s="77">
        <v>16</v>
      </c>
      <c r="B41" s="65">
        <v>0.6986111111111111</v>
      </c>
      <c r="C41" s="79">
        <v>0.6666666666666666</v>
      </c>
    </row>
    <row r="42" spans="2:3" ht="13.5">
      <c r="B42" s="65"/>
      <c r="C42" s="79">
        <v>0.675</v>
      </c>
    </row>
    <row r="43" spans="2:3" ht="13.5">
      <c r="B43" s="65"/>
      <c r="C43" s="79">
        <v>0.7076388888888889</v>
      </c>
    </row>
    <row r="44" spans="2:3" ht="13.5">
      <c r="B44" s="65"/>
      <c r="C44" s="79"/>
    </row>
    <row r="45" spans="1:3" ht="13.5">
      <c r="A45" s="77">
        <v>17</v>
      </c>
      <c r="B45" s="65">
        <v>0.7090277777777778</v>
      </c>
      <c r="C45" s="79">
        <v>0.7423611111111111</v>
      </c>
    </row>
    <row r="46" ht="13.5">
      <c r="B46" s="65">
        <v>0.7402777777777778</v>
      </c>
    </row>
    <row r="47" ht="13.5">
      <c r="B47" s="65"/>
    </row>
    <row r="48" spans="1:3" ht="13.5">
      <c r="A48" s="77">
        <v>18</v>
      </c>
      <c r="B48" s="65">
        <v>0.7506944444444444</v>
      </c>
      <c r="C48" s="79">
        <v>0.7583333333333333</v>
      </c>
    </row>
    <row r="49" spans="2:3" ht="13.5">
      <c r="B49" s="65">
        <v>0.7555555555555555</v>
      </c>
      <c r="C49" s="79">
        <v>0.7909722222222222</v>
      </c>
    </row>
    <row r="50" ht="13.5">
      <c r="B50" s="65">
        <v>0.7819444444444444</v>
      </c>
    </row>
    <row r="51" spans="2:3" ht="13.5">
      <c r="B51" s="65"/>
      <c r="C51" s="79"/>
    </row>
    <row r="52" spans="1:3" ht="13.5">
      <c r="A52" s="77">
        <v>19</v>
      </c>
      <c r="B52" s="65">
        <v>0.7923611111111111</v>
      </c>
      <c r="C52" s="79">
        <v>0.8</v>
      </c>
    </row>
    <row r="53" spans="2:3" ht="13.5">
      <c r="B53" s="65">
        <v>0.7965277777777777</v>
      </c>
      <c r="C53" s="79">
        <v>0.8319444444444445</v>
      </c>
    </row>
    <row r="54" ht="13.5">
      <c r="B54" s="65">
        <v>0.8236111111111111</v>
      </c>
    </row>
    <row r="55" ht="13.5">
      <c r="B55" s="65"/>
    </row>
    <row r="56" spans="1:3" ht="13.5">
      <c r="A56" s="77">
        <v>20</v>
      </c>
      <c r="B56" s="65">
        <v>0.8548611111111111</v>
      </c>
      <c r="C56" s="79">
        <v>0.8416666666666667</v>
      </c>
    </row>
    <row r="57" spans="2:3" ht="13.5">
      <c r="B57" s="65">
        <v>0.8708333333333333</v>
      </c>
      <c r="C57" s="79">
        <v>0.8736111111111111</v>
      </c>
    </row>
    <row r="58" spans="2:3" ht="13.5">
      <c r="B58" s="65"/>
      <c r="C58" s="79"/>
    </row>
    <row r="59" spans="1:3" ht="13.5">
      <c r="A59" s="77">
        <v>21</v>
      </c>
      <c r="B59" s="65">
        <v>0.9069444444444444</v>
      </c>
      <c r="C59" s="79">
        <v>0.8833333333333333</v>
      </c>
    </row>
    <row r="60" spans="2:3" ht="13.5">
      <c r="B60" s="65"/>
      <c r="C60" s="79"/>
    </row>
    <row r="61" spans="1:3" ht="13.5">
      <c r="A61" s="77">
        <v>22</v>
      </c>
      <c r="B61" s="65">
        <v>0.9569444444444445</v>
      </c>
      <c r="C61" s="79">
        <v>0.9263888888888889</v>
      </c>
    </row>
    <row r="62" spans="2:3" ht="13.5">
      <c r="B62" s="65"/>
      <c r="C62" s="79"/>
    </row>
    <row r="63" spans="1:3" ht="13.5">
      <c r="A63" s="77">
        <v>0</v>
      </c>
      <c r="B63" s="65">
        <v>0.03958333333333333</v>
      </c>
      <c r="C63" s="79">
        <v>0.008333333333333333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4"/>
  <sheetViews>
    <sheetView workbookViewId="0" topLeftCell="A1">
      <pane xSplit="1" ySplit="1" topLeftCell="B112" activePane="bottomRight" state="frozen"/>
      <selection pane="topLeft" activeCell="A1" sqref="A1"/>
      <selection pane="topRight" activeCell="B1" sqref="B1"/>
      <selection pane="bottomLeft" activeCell="A112" sqref="A112"/>
      <selection pane="bottomRight" activeCell="L149" sqref="L149"/>
    </sheetView>
  </sheetViews>
  <sheetFormatPr defaultColWidth="13.7109375" defaultRowHeight="10.5"/>
  <cols>
    <col min="2" max="8" width="11.8515625" style="0" customWidth="1"/>
    <col min="9" max="9" width="14.8515625" style="0" customWidth="1"/>
    <col min="10" max="15" width="11.8515625" style="0" customWidth="1"/>
    <col min="16" max="16" width="12.421875" style="0" customWidth="1"/>
  </cols>
  <sheetData>
    <row r="1" s="3" customFormat="1" ht="19.5">
      <c r="A1" s="1" t="s">
        <v>195</v>
      </c>
    </row>
    <row r="2" ht="9">
      <c r="A2" s="4"/>
    </row>
    <row r="4" spans="1:16" ht="9">
      <c r="A4" s="10"/>
      <c r="B4" s="80" t="s">
        <v>196</v>
      </c>
      <c r="C4" s="80" t="s">
        <v>196</v>
      </c>
      <c r="D4" s="80" t="s">
        <v>197</v>
      </c>
      <c r="E4" s="80" t="s">
        <v>198</v>
      </c>
      <c r="F4" s="80" t="s">
        <v>199</v>
      </c>
      <c r="G4" s="80" t="s">
        <v>200</v>
      </c>
      <c r="H4" s="80" t="s">
        <v>196</v>
      </c>
      <c r="I4" s="80" t="s">
        <v>200</v>
      </c>
      <c r="J4" s="80" t="s">
        <v>196</v>
      </c>
      <c r="K4" s="80" t="s">
        <v>200</v>
      </c>
      <c r="L4" s="80" t="s">
        <v>200</v>
      </c>
      <c r="M4" s="80" t="s">
        <v>198</v>
      </c>
      <c r="N4" s="80" t="s">
        <v>199</v>
      </c>
      <c r="O4" s="80" t="s">
        <v>200</v>
      </c>
      <c r="P4" s="80" t="s">
        <v>200</v>
      </c>
    </row>
    <row r="5" spans="1:9" ht="45.75">
      <c r="A5" s="14" t="s">
        <v>16</v>
      </c>
      <c r="G5" s="52" t="s">
        <v>201</v>
      </c>
      <c r="I5" s="52" t="s">
        <v>202</v>
      </c>
    </row>
    <row r="6" spans="1:16" ht="9">
      <c r="A6" s="17" t="s">
        <v>152</v>
      </c>
      <c r="B6" s="81"/>
      <c r="C6" s="81"/>
      <c r="D6" s="81">
        <v>0.2708333333333333</v>
      </c>
      <c r="E6" s="81">
        <v>0.2916666666666667</v>
      </c>
      <c r="F6" s="81">
        <v>0.3333333333333333</v>
      </c>
      <c r="G6" s="81"/>
      <c r="H6" s="81"/>
      <c r="I6" s="81"/>
      <c r="J6" s="81">
        <v>0.55</v>
      </c>
      <c r="K6" s="81"/>
      <c r="L6" s="81"/>
      <c r="M6" s="81">
        <v>0.6597222222222222</v>
      </c>
      <c r="N6" s="81"/>
      <c r="O6" s="81"/>
      <c r="P6" s="81"/>
    </row>
    <row r="7" spans="1:16" ht="9">
      <c r="A7" s="17" t="s">
        <v>161</v>
      </c>
      <c r="B7" s="81">
        <v>0.18819444444444444</v>
      </c>
      <c r="C7" s="81">
        <v>0.26666666666666666</v>
      </c>
      <c r="D7" s="81">
        <v>0.27291666666666664</v>
      </c>
      <c r="E7" s="81">
        <v>0.29375</v>
      </c>
      <c r="F7" s="81">
        <v>0.3368055555555556</v>
      </c>
      <c r="G7" s="81">
        <v>0.4361111111111111</v>
      </c>
      <c r="H7" s="81">
        <v>0.49930555555555556</v>
      </c>
      <c r="I7" s="81">
        <v>0.5090277777777777</v>
      </c>
      <c r="J7" s="81">
        <v>0.5534722222222223</v>
      </c>
      <c r="K7" s="81">
        <v>0.5680555555555555</v>
      </c>
      <c r="L7" s="81">
        <v>0.5993055555555555</v>
      </c>
      <c r="M7" s="81">
        <v>0.6631944444444444</v>
      </c>
      <c r="N7" s="81">
        <v>0.7208333333333333</v>
      </c>
      <c r="O7" s="81">
        <v>0.8840277777777777</v>
      </c>
      <c r="P7" s="81">
        <v>0.93125</v>
      </c>
    </row>
    <row r="8" spans="1:13" ht="9.75">
      <c r="A8" s="54" t="s">
        <v>0</v>
      </c>
      <c r="B8" s="81"/>
      <c r="C8" s="81"/>
      <c r="D8" s="81" t="s">
        <v>203</v>
      </c>
      <c r="E8" s="81" t="s">
        <v>203</v>
      </c>
      <c r="F8" s="81" t="s">
        <v>203</v>
      </c>
      <c r="G8" s="81"/>
      <c r="H8" s="81"/>
      <c r="I8" s="81"/>
      <c r="J8" t="s">
        <v>203</v>
      </c>
      <c r="M8" t="s">
        <v>203</v>
      </c>
    </row>
    <row r="9" spans="1:16" ht="9.75">
      <c r="A9" s="54" t="s">
        <v>204</v>
      </c>
      <c r="B9" s="81" t="s">
        <v>203</v>
      </c>
      <c r="C9" s="81" t="s">
        <v>203</v>
      </c>
      <c r="D9" s="81"/>
      <c r="E9" s="81"/>
      <c r="F9" s="81"/>
      <c r="G9" s="81" t="s">
        <v>203</v>
      </c>
      <c r="H9" s="81" t="s">
        <v>203</v>
      </c>
      <c r="I9" s="81" t="s">
        <v>203</v>
      </c>
      <c r="K9" t="s">
        <v>203</v>
      </c>
      <c r="L9" t="s">
        <v>203</v>
      </c>
      <c r="N9" t="s">
        <v>203</v>
      </c>
      <c r="O9" t="s">
        <v>203</v>
      </c>
      <c r="P9" t="s">
        <v>203</v>
      </c>
    </row>
    <row r="10" spans="1:10" ht="9">
      <c r="A10" s="23"/>
      <c r="B10" s="81"/>
      <c r="C10" s="81"/>
      <c r="D10" s="81"/>
      <c r="E10" s="81"/>
      <c r="F10" s="81"/>
      <c r="G10" s="81"/>
      <c r="H10" s="81"/>
      <c r="I10" s="81"/>
      <c r="J10" s="81"/>
    </row>
    <row r="11" spans="1:16" ht="9.75">
      <c r="A11" s="19" t="s">
        <v>205</v>
      </c>
      <c r="B11" s="81">
        <v>0.19652777777777777</v>
      </c>
      <c r="C11" s="81">
        <v>0.27361111111111114</v>
      </c>
      <c r="D11" s="81">
        <v>0.30416666666666664</v>
      </c>
      <c r="E11" s="81">
        <v>0.3125</v>
      </c>
      <c r="F11" s="81">
        <v>0.3548611111111111</v>
      </c>
      <c r="G11" s="81">
        <v>0.4465277777777778</v>
      </c>
      <c r="H11" s="81">
        <v>0.5055555555555555</v>
      </c>
      <c r="I11" s="81">
        <v>0.5194444444444445</v>
      </c>
      <c r="J11" s="81">
        <v>0.5756944444444444</v>
      </c>
      <c r="K11" s="65">
        <v>0.5743055555555555</v>
      </c>
      <c r="L11" s="81">
        <v>0.6069444444444444</v>
      </c>
      <c r="M11" s="81">
        <v>0.68125</v>
      </c>
      <c r="N11" s="81">
        <v>0.73125</v>
      </c>
      <c r="O11" s="81">
        <v>0.8909722222222223</v>
      </c>
      <c r="P11" s="81">
        <v>0.9402777777777778</v>
      </c>
    </row>
    <row r="12" spans="1:16" ht="9.75">
      <c r="A12" s="19" t="s">
        <v>206</v>
      </c>
      <c r="B12" s="81">
        <v>0.21180555555555555</v>
      </c>
      <c r="C12" s="81">
        <v>0.28680555555555554</v>
      </c>
      <c r="D12" s="81">
        <v>0.3229166666666667</v>
      </c>
      <c r="E12" s="81">
        <v>0.3333333333333333</v>
      </c>
      <c r="F12" s="81">
        <v>0.3680555555555556</v>
      </c>
      <c r="G12" s="81">
        <v>0.45625</v>
      </c>
      <c r="H12" s="81">
        <v>0.5208333333333334</v>
      </c>
      <c r="I12" s="81">
        <v>0.5298611111111111</v>
      </c>
      <c r="J12" s="81">
        <v>0.5868055555555556</v>
      </c>
      <c r="K12" s="65">
        <v>0.59375</v>
      </c>
      <c r="L12" s="81">
        <v>0.6201388888888889</v>
      </c>
      <c r="M12" s="81">
        <v>0.6944444444444444</v>
      </c>
      <c r="N12" s="81">
        <v>0.7430555555555556</v>
      </c>
      <c r="O12" s="81">
        <v>0.9097222222222222</v>
      </c>
      <c r="P12" s="81">
        <v>0.9534722222222223</v>
      </c>
    </row>
    <row r="13" spans="1:10" ht="9">
      <c r="A13" s="19"/>
      <c r="J13" s="81"/>
    </row>
    <row r="14" spans="1:10" ht="9.75">
      <c r="A14" s="54" t="s">
        <v>122</v>
      </c>
      <c r="D14" t="s">
        <v>207</v>
      </c>
      <c r="E14" t="s">
        <v>208</v>
      </c>
      <c r="J14" s="81"/>
    </row>
    <row r="15" spans="1:10" ht="9">
      <c r="A15" s="19"/>
      <c r="J15" s="81"/>
    </row>
    <row r="16" s="3" customFormat="1" ht="19.5">
      <c r="A16" s="1" t="s">
        <v>209</v>
      </c>
    </row>
    <row r="17" s="83" customFormat="1" ht="19.5">
      <c r="A17" s="82"/>
    </row>
    <row r="18" spans="1:16" ht="9">
      <c r="A18" s="16"/>
      <c r="B18" s="80" t="s">
        <v>196</v>
      </c>
      <c r="C18" s="84" t="s">
        <v>196</v>
      </c>
      <c r="D18" s="80" t="s">
        <v>199</v>
      </c>
      <c r="E18" s="80" t="s">
        <v>200</v>
      </c>
      <c r="F18" s="84" t="s">
        <v>197</v>
      </c>
      <c r="G18" s="80" t="s">
        <v>200</v>
      </c>
      <c r="H18" s="80" t="s">
        <v>196</v>
      </c>
      <c r="I18" s="80" t="s">
        <v>200</v>
      </c>
      <c r="J18" s="80" t="s">
        <v>198</v>
      </c>
      <c r="K18" s="80" t="s">
        <v>196</v>
      </c>
      <c r="L18" s="80" t="s">
        <v>198</v>
      </c>
      <c r="M18" s="80" t="s">
        <v>199</v>
      </c>
      <c r="N18" s="80" t="s">
        <v>200</v>
      </c>
      <c r="O18" s="80" t="s">
        <v>200</v>
      </c>
      <c r="P18" s="80" t="s">
        <v>200</v>
      </c>
    </row>
    <row r="19" spans="1:16" ht="9">
      <c r="A19" s="16" t="s">
        <v>16</v>
      </c>
      <c r="B19" t="s">
        <v>210</v>
      </c>
      <c r="C19" t="s">
        <v>211</v>
      </c>
      <c r="D19" t="s">
        <v>210</v>
      </c>
      <c r="F19" t="s">
        <v>212</v>
      </c>
      <c r="H19" t="s">
        <v>207</v>
      </c>
      <c r="I19" t="s">
        <v>210</v>
      </c>
      <c r="K19" t="s">
        <v>207</v>
      </c>
      <c r="N19" t="s">
        <v>210</v>
      </c>
      <c r="O19" t="s">
        <v>210</v>
      </c>
      <c r="P19" t="s">
        <v>210</v>
      </c>
    </row>
    <row r="20" spans="1:16" ht="9">
      <c r="A20" s="20" t="s">
        <v>206</v>
      </c>
      <c r="B20" s="81">
        <v>0.2152777777777778</v>
      </c>
      <c r="D20" s="81">
        <v>0.2951388888888889</v>
      </c>
      <c r="E20" s="81">
        <v>0.3472222222222222</v>
      </c>
      <c r="F20" s="81">
        <v>0.4166666666666667</v>
      </c>
      <c r="G20" s="81">
        <v>0.4166666666666667</v>
      </c>
      <c r="H20" s="81">
        <v>0.5243055555555556</v>
      </c>
      <c r="I20" s="81">
        <v>0.5486111111111112</v>
      </c>
      <c r="J20" s="81">
        <v>0.5868055555555556</v>
      </c>
      <c r="K20" s="81">
        <v>0.5868055555555556</v>
      </c>
      <c r="L20" s="81">
        <v>0.7013888888888888</v>
      </c>
      <c r="M20" s="81">
        <v>0.7430555555555556</v>
      </c>
      <c r="N20" s="81">
        <v>0.8402777777777778</v>
      </c>
      <c r="O20" s="81">
        <v>0.8819444444444444</v>
      </c>
      <c r="P20" s="81">
        <v>0.9131944444444444</v>
      </c>
    </row>
    <row r="21" spans="1:16" ht="9">
      <c r="A21" s="20" t="s">
        <v>213</v>
      </c>
      <c r="B21" s="81">
        <v>0.22777777777777777</v>
      </c>
      <c r="D21" s="81">
        <v>0.30694444444444446</v>
      </c>
      <c r="E21" s="81">
        <v>0.3576388888888889</v>
      </c>
      <c r="F21" s="81">
        <v>0.42777777777777776</v>
      </c>
      <c r="G21" s="81">
        <v>0.4270833333333333</v>
      </c>
      <c r="H21" s="81">
        <v>0.5395833333333333</v>
      </c>
      <c r="I21" s="81">
        <v>0.5611111111111111</v>
      </c>
      <c r="J21" s="81">
        <v>0.6006944444444444</v>
      </c>
      <c r="K21" s="81">
        <v>0.6013888888888889</v>
      </c>
      <c r="L21" s="81">
        <v>0.7111111111111111</v>
      </c>
      <c r="M21" s="81">
        <v>0.7555555555555555</v>
      </c>
      <c r="N21" s="81">
        <v>0.8555555555555555</v>
      </c>
      <c r="O21" s="81">
        <v>0.8944444444444445</v>
      </c>
      <c r="P21" s="81">
        <v>0.9284722222222223</v>
      </c>
    </row>
    <row r="22" ht="9">
      <c r="A22" s="16"/>
    </row>
    <row r="23" spans="1:13" ht="9">
      <c r="A23" s="16" t="s">
        <v>0</v>
      </c>
      <c r="F23" t="s">
        <v>203</v>
      </c>
      <c r="J23" t="s">
        <v>203</v>
      </c>
      <c r="K23" t="s">
        <v>203</v>
      </c>
      <c r="M23" t="s">
        <v>203</v>
      </c>
    </row>
    <row r="24" spans="1:16" ht="9">
      <c r="A24" s="16" t="s">
        <v>204</v>
      </c>
      <c r="B24" t="s">
        <v>203</v>
      </c>
      <c r="D24" t="s">
        <v>203</v>
      </c>
      <c r="E24" t="s">
        <v>203</v>
      </c>
      <c r="G24" t="s">
        <v>203</v>
      </c>
      <c r="H24" t="s">
        <v>203</v>
      </c>
      <c r="I24" t="s">
        <v>203</v>
      </c>
      <c r="L24" t="s">
        <v>203</v>
      </c>
      <c r="N24" t="s">
        <v>203</v>
      </c>
      <c r="O24" t="s">
        <v>203</v>
      </c>
      <c r="P24" t="s">
        <v>203</v>
      </c>
    </row>
    <row r="25" spans="1:16" ht="9">
      <c r="A25" s="17" t="s">
        <v>161</v>
      </c>
      <c r="B25" s="81">
        <v>0.23472222222222222</v>
      </c>
      <c r="C25" s="81"/>
      <c r="D25" s="81">
        <v>0.3173611111111111</v>
      </c>
      <c r="E25" s="81">
        <v>0.36736111111111114</v>
      </c>
      <c r="F25" s="81">
        <v>0.4548611111111111</v>
      </c>
      <c r="G25" s="81">
        <v>0.43680555555555556</v>
      </c>
      <c r="H25" s="81">
        <v>0.5472222222222223</v>
      </c>
      <c r="I25" s="81">
        <v>0.5680555555555555</v>
      </c>
      <c r="J25" s="81">
        <v>0.61875</v>
      </c>
      <c r="K25" s="81">
        <v>0.6284722222222222</v>
      </c>
      <c r="L25" s="81">
        <v>0.7222222222222222</v>
      </c>
      <c r="M25" s="81">
        <v>0.7743055555555556</v>
      </c>
      <c r="N25" s="81">
        <v>0.8631944444444445</v>
      </c>
      <c r="O25" s="81">
        <v>0.9020833333333333</v>
      </c>
      <c r="P25" s="81">
        <v>0.9368055555555556</v>
      </c>
    </row>
    <row r="26" spans="1:16" ht="9">
      <c r="A26" s="17" t="s">
        <v>152</v>
      </c>
      <c r="B26" s="81"/>
      <c r="C26" s="81"/>
      <c r="D26" s="81"/>
      <c r="E26" s="81"/>
      <c r="F26" s="81">
        <v>0.4583333333333333</v>
      </c>
      <c r="G26" s="81"/>
      <c r="H26" s="81"/>
      <c r="I26" s="81"/>
      <c r="J26" s="81">
        <v>0.6222222222222222</v>
      </c>
      <c r="K26" s="81">
        <v>0.6319444444444444</v>
      </c>
      <c r="L26" s="81">
        <v>0.7256944444444444</v>
      </c>
      <c r="M26" s="81">
        <v>0.7777777777777778</v>
      </c>
      <c r="N26" s="81"/>
      <c r="O26" s="81"/>
      <c r="P26" s="81"/>
    </row>
    <row r="27" ht="9">
      <c r="A27" s="16"/>
    </row>
    <row r="28" spans="1:16" ht="45.75">
      <c r="A28" s="16" t="s">
        <v>122</v>
      </c>
      <c r="C28" t="s">
        <v>118</v>
      </c>
      <c r="D28" t="s">
        <v>118</v>
      </c>
      <c r="E28" s="52" t="s">
        <v>202</v>
      </c>
      <c r="G28" s="52" t="s">
        <v>201</v>
      </c>
      <c r="H28" t="s">
        <v>118</v>
      </c>
      <c r="I28" t="s">
        <v>118</v>
      </c>
      <c r="N28" t="s">
        <v>118</v>
      </c>
      <c r="O28" t="s">
        <v>118</v>
      </c>
      <c r="P28" t="s">
        <v>118</v>
      </c>
    </row>
    <row r="30" s="3" customFormat="1" ht="19.5">
      <c r="A30" s="1" t="s">
        <v>214</v>
      </c>
    </row>
    <row r="32" spans="2:16" ht="9">
      <c r="B32" s="80" t="s">
        <v>198</v>
      </c>
      <c r="C32" s="80" t="s">
        <v>196</v>
      </c>
      <c r="D32" s="80" t="s">
        <v>199</v>
      </c>
      <c r="E32" s="80" t="s">
        <v>198</v>
      </c>
      <c r="F32" s="80" t="s">
        <v>199</v>
      </c>
      <c r="G32" s="80" t="s">
        <v>200</v>
      </c>
      <c r="H32" s="80" t="s">
        <v>199</v>
      </c>
      <c r="I32" s="80" t="s">
        <v>200</v>
      </c>
      <c r="J32" s="80"/>
      <c r="K32" s="80"/>
      <c r="L32" s="80"/>
      <c r="M32" s="80"/>
      <c r="N32" s="80"/>
      <c r="O32" s="80"/>
      <c r="P32" s="80"/>
    </row>
    <row r="33" spans="1:9" ht="36.75">
      <c r="A33" s="14" t="s">
        <v>16</v>
      </c>
      <c r="C33" t="s">
        <v>55</v>
      </c>
      <c r="D33" s="52" t="s">
        <v>202</v>
      </c>
      <c r="F33" s="52" t="s">
        <v>202</v>
      </c>
      <c r="H33" s="52" t="s">
        <v>202</v>
      </c>
      <c r="I33" s="52" t="s">
        <v>215</v>
      </c>
    </row>
    <row r="34" spans="1:9" ht="9">
      <c r="A34" s="17" t="s">
        <v>152</v>
      </c>
      <c r="B34" s="81">
        <v>0.2604166666666667</v>
      </c>
      <c r="C34" s="81"/>
      <c r="D34" s="81"/>
      <c r="E34" s="81">
        <v>0.5104166666666666</v>
      </c>
      <c r="F34" s="81"/>
      <c r="G34" s="81"/>
      <c r="H34" s="81"/>
      <c r="I34" s="81"/>
    </row>
    <row r="35" spans="1:9" ht="9">
      <c r="A35" s="17" t="s">
        <v>161</v>
      </c>
      <c r="B35" s="81">
        <v>0.2638888888888889</v>
      </c>
      <c r="C35" s="81">
        <v>0.2847222222222222</v>
      </c>
      <c r="D35" s="81">
        <v>0.3159722222222222</v>
      </c>
      <c r="E35" s="81">
        <v>0.5138888888888888</v>
      </c>
      <c r="F35" s="81">
        <v>0.6270833333333333</v>
      </c>
      <c r="G35" s="81">
        <v>0.7048611111111112</v>
      </c>
      <c r="H35" s="81">
        <v>0.7951388888888888</v>
      </c>
      <c r="I35" s="81">
        <v>0.9604166666666667</v>
      </c>
    </row>
    <row r="36" spans="1:9" ht="9.75">
      <c r="A36" s="54" t="s">
        <v>0</v>
      </c>
      <c r="B36" t="s">
        <v>203</v>
      </c>
      <c r="C36" t="s">
        <v>203</v>
      </c>
      <c r="D36" t="s">
        <v>203</v>
      </c>
      <c r="E36" t="s">
        <v>203</v>
      </c>
      <c r="F36" t="s">
        <v>203</v>
      </c>
      <c r="G36" t="s">
        <v>203</v>
      </c>
      <c r="H36" t="s">
        <v>203</v>
      </c>
      <c r="I36" t="s">
        <v>203</v>
      </c>
    </row>
    <row r="37" ht="9.75">
      <c r="A37" s="54" t="s">
        <v>204</v>
      </c>
    </row>
    <row r="38" ht="9">
      <c r="A38" s="23"/>
    </row>
    <row r="39" spans="1:9" ht="9.75">
      <c r="A39" s="19" t="s">
        <v>192</v>
      </c>
      <c r="B39" s="81">
        <v>0.27361111111111114</v>
      </c>
      <c r="C39" s="81">
        <v>0.29375</v>
      </c>
      <c r="D39" s="81">
        <v>0.32430555555555557</v>
      </c>
      <c r="E39" s="81">
        <v>0.5236111111111111</v>
      </c>
      <c r="F39" s="81">
        <v>0.6361111111111111</v>
      </c>
      <c r="G39" s="81">
        <v>0.7145833333333333</v>
      </c>
      <c r="H39" s="81">
        <v>0.8055555555555556</v>
      </c>
      <c r="I39" s="81">
        <v>0.9694444444444444</v>
      </c>
    </row>
    <row r="40" spans="1:9" ht="9.75">
      <c r="A40" s="19" t="s">
        <v>216</v>
      </c>
      <c r="B40" s="81">
        <v>0.3125</v>
      </c>
      <c r="C40" s="81">
        <v>0.3263888888888889</v>
      </c>
      <c r="D40" s="81">
        <v>0.3645833333333333</v>
      </c>
      <c r="E40" s="81">
        <v>0.5555555555555556</v>
      </c>
      <c r="F40" s="81">
        <v>0.6701388888888888</v>
      </c>
      <c r="G40" s="81" t="s">
        <v>28</v>
      </c>
      <c r="H40" s="81">
        <v>0.8333333333333334</v>
      </c>
      <c r="I40" s="81">
        <v>0.003472222222222222</v>
      </c>
    </row>
    <row r="41" ht="9">
      <c r="A41" s="19"/>
    </row>
    <row r="42" ht="9">
      <c r="A42" s="54"/>
    </row>
    <row r="43" s="3" customFormat="1" ht="19.5">
      <c r="A43" s="1" t="s">
        <v>217</v>
      </c>
    </row>
    <row r="45" spans="2:10" ht="9">
      <c r="B45" s="80" t="s">
        <v>196</v>
      </c>
      <c r="C45" s="80" t="s">
        <v>199</v>
      </c>
      <c r="D45" s="80" t="s">
        <v>198</v>
      </c>
      <c r="E45" s="80" t="s">
        <v>200</v>
      </c>
      <c r="F45" s="80" t="s">
        <v>199</v>
      </c>
      <c r="G45" s="80" t="s">
        <v>198</v>
      </c>
      <c r="H45" s="80" t="s">
        <v>200</v>
      </c>
      <c r="I45" s="80" t="s">
        <v>199</v>
      </c>
      <c r="J45" s="80" t="s">
        <v>200</v>
      </c>
    </row>
    <row r="46" spans="1:10" ht="9">
      <c r="A46" s="17" t="s">
        <v>216</v>
      </c>
      <c r="B46" s="81">
        <v>0.16666666666666666</v>
      </c>
      <c r="C46" s="81">
        <v>0.2708333333333333</v>
      </c>
      <c r="D46" s="81">
        <v>0.3229166666666667</v>
      </c>
      <c r="E46" s="81">
        <v>0.5</v>
      </c>
      <c r="F46" s="81">
        <v>0.5208333333333334</v>
      </c>
      <c r="G46" s="81">
        <v>0.5590277777777778</v>
      </c>
      <c r="H46" s="81" t="s">
        <v>28</v>
      </c>
      <c r="I46" s="81">
        <v>0.7361111111111112</v>
      </c>
      <c r="J46" s="81">
        <v>0.8368055555555556</v>
      </c>
    </row>
    <row r="47" spans="1:10" ht="9">
      <c r="A47" s="17" t="s">
        <v>192</v>
      </c>
      <c r="B47" s="81">
        <v>0.2</v>
      </c>
      <c r="C47" s="81">
        <v>0.30416666666666664</v>
      </c>
      <c r="D47" s="81">
        <v>0.35625</v>
      </c>
      <c r="E47" s="81">
        <v>0.5333333333333333</v>
      </c>
      <c r="F47" s="81">
        <v>0.55625</v>
      </c>
      <c r="G47" s="81">
        <v>0.5868055555555556</v>
      </c>
      <c r="H47" s="81">
        <v>0.7486111111111111</v>
      </c>
      <c r="I47" s="81">
        <v>0.7659722222222223</v>
      </c>
      <c r="J47" s="81">
        <v>0.8659722222222223</v>
      </c>
    </row>
    <row r="48" ht="9">
      <c r="A48" s="17"/>
    </row>
    <row r="49" spans="1:10" ht="9.75">
      <c r="A49" s="54" t="s">
        <v>0</v>
      </c>
      <c r="B49" t="s">
        <v>203</v>
      </c>
      <c r="C49" t="s">
        <v>203</v>
      </c>
      <c r="D49" t="s">
        <v>203</v>
      </c>
      <c r="E49" t="s">
        <v>203</v>
      </c>
      <c r="F49" t="s">
        <v>203</v>
      </c>
      <c r="G49" t="s">
        <v>203</v>
      </c>
      <c r="H49" t="s">
        <v>203</v>
      </c>
      <c r="I49" t="s">
        <v>203</v>
      </c>
      <c r="J49" t="s">
        <v>203</v>
      </c>
    </row>
    <row r="50" spans="1:10" ht="9">
      <c r="A50" s="23"/>
      <c r="I50" s="81">
        <v>0.7743055555555556</v>
      </c>
      <c r="J50" s="81">
        <v>0.8729166666666667</v>
      </c>
    </row>
    <row r="51" spans="1:10" ht="9">
      <c r="A51" s="17" t="s">
        <v>161</v>
      </c>
      <c r="B51" s="81">
        <v>0.20972222222222223</v>
      </c>
      <c r="C51" s="81">
        <v>0.3159722222222222</v>
      </c>
      <c r="D51" s="81">
        <v>0.36736111111111114</v>
      </c>
      <c r="E51" s="81">
        <v>0.5430555555555555</v>
      </c>
      <c r="F51" s="81">
        <v>0.5659722222222222</v>
      </c>
      <c r="G51" s="81">
        <v>0.5944444444444444</v>
      </c>
      <c r="H51" s="81">
        <v>0.7569444444444444</v>
      </c>
      <c r="I51" s="81"/>
      <c r="J51" s="81"/>
    </row>
    <row r="52" spans="1:10" ht="9">
      <c r="A52" s="17" t="s">
        <v>152</v>
      </c>
      <c r="B52" s="81"/>
      <c r="C52" s="81"/>
      <c r="D52" s="81">
        <v>0.3715277777777778</v>
      </c>
      <c r="E52" s="81"/>
      <c r="F52" s="81"/>
      <c r="G52" s="81">
        <v>0.5972222222222222</v>
      </c>
      <c r="H52" s="81"/>
      <c r="I52" s="81"/>
      <c r="J52" s="81"/>
    </row>
    <row r="53" ht="9">
      <c r="A53" s="17"/>
    </row>
    <row r="54" spans="1:10" ht="27.75">
      <c r="A54" s="16" t="s">
        <v>122</v>
      </c>
      <c r="B54" s="52" t="s">
        <v>218</v>
      </c>
      <c r="C54" s="52" t="s">
        <v>219</v>
      </c>
      <c r="E54" t="s">
        <v>55</v>
      </c>
      <c r="F54" s="52" t="s">
        <v>219</v>
      </c>
      <c r="I54" s="52" t="s">
        <v>219</v>
      </c>
      <c r="J54" s="52" t="s">
        <v>218</v>
      </c>
    </row>
    <row r="56" s="3" customFormat="1" ht="19.5">
      <c r="A56" s="1" t="s">
        <v>220</v>
      </c>
    </row>
    <row r="58" spans="2:8" ht="9">
      <c r="B58" s="80" t="s">
        <v>196</v>
      </c>
      <c r="C58" s="80" t="s">
        <v>198</v>
      </c>
      <c r="D58" s="80" t="s">
        <v>196</v>
      </c>
      <c r="E58" s="80" t="s">
        <v>221</v>
      </c>
      <c r="F58" s="80" t="s">
        <v>221</v>
      </c>
      <c r="G58" s="80" t="s">
        <v>221</v>
      </c>
      <c r="H58" s="80" t="s">
        <v>196</v>
      </c>
    </row>
    <row r="59" spans="1:5" ht="9">
      <c r="A59" s="14" t="s">
        <v>16</v>
      </c>
      <c r="B59" t="s">
        <v>222</v>
      </c>
      <c r="C59" t="s">
        <v>223</v>
      </c>
      <c r="D59" t="s">
        <v>222</v>
      </c>
      <c r="E59" t="s">
        <v>222</v>
      </c>
    </row>
    <row r="60" spans="1:8" ht="9">
      <c r="A60" s="17" t="s">
        <v>161</v>
      </c>
      <c r="B60" s="81">
        <v>0.2986111111111111</v>
      </c>
      <c r="C60" s="81">
        <v>0.2986111111111111</v>
      </c>
      <c r="D60" s="81">
        <v>0.5194444444444445</v>
      </c>
      <c r="E60" s="81">
        <v>0.5611111111111111</v>
      </c>
      <c r="F60" s="81">
        <v>0.5611111111111111</v>
      </c>
      <c r="G60" s="81">
        <v>0.6708333333333333</v>
      </c>
      <c r="H60" s="81">
        <v>0.7395833333333334</v>
      </c>
    </row>
    <row r="61" spans="1:8" ht="9.75">
      <c r="A61" s="19" t="s">
        <v>48</v>
      </c>
      <c r="B61" s="81">
        <v>0.3138888888888889</v>
      </c>
      <c r="C61" s="81">
        <v>0.3138888888888889</v>
      </c>
      <c r="D61" s="81">
        <v>0.5291666666666667</v>
      </c>
      <c r="E61" s="81">
        <v>0.5708333333333333</v>
      </c>
      <c r="F61" s="81">
        <v>0.5708333333333333</v>
      </c>
      <c r="G61" s="81">
        <v>0.6777777777777778</v>
      </c>
      <c r="H61" s="81">
        <v>0.75</v>
      </c>
    </row>
    <row r="62" spans="1:8" ht="9">
      <c r="A62" s="19"/>
      <c r="B62" s="81"/>
      <c r="C62" s="81"/>
      <c r="D62" s="81"/>
      <c r="E62" s="81"/>
      <c r="F62" s="81"/>
      <c r="G62" s="81"/>
      <c r="H62" s="81"/>
    </row>
    <row r="63" spans="1:12" ht="9">
      <c r="A63" s="16" t="s">
        <v>60</v>
      </c>
      <c r="B63" s="40">
        <f>35.2*277</f>
        <v>9750.400000000001</v>
      </c>
      <c r="C63" s="40"/>
      <c r="D63" s="40">
        <f>35.2*277</f>
        <v>9750.400000000001</v>
      </c>
      <c r="E63" s="40">
        <f>35.2*207</f>
        <v>7286.400000000001</v>
      </c>
      <c r="F63" s="40"/>
      <c r="G63" s="40"/>
      <c r="H63" s="40"/>
      <c r="L63" s="40">
        <f>SUM(B63:K63)</f>
        <v>26787.200000000004</v>
      </c>
    </row>
    <row r="64" spans="1:12" ht="9">
      <c r="A64" s="16" t="s">
        <v>61</v>
      </c>
      <c r="B64" s="40">
        <f>-20.5*277</f>
        <v>-5678.5</v>
      </c>
      <c r="C64" s="40"/>
      <c r="D64" s="40">
        <f>-20.5*277</f>
        <v>-5678.5</v>
      </c>
      <c r="E64" s="40">
        <f>-20.5*207</f>
        <v>-4243.5</v>
      </c>
      <c r="F64" s="40"/>
      <c r="G64" s="40"/>
      <c r="H64" s="40"/>
      <c r="L64" s="40">
        <f>SUM(B64:K64)</f>
        <v>-15600.5</v>
      </c>
    </row>
    <row r="65" spans="1:8" ht="9">
      <c r="A65" s="16" t="s">
        <v>62</v>
      </c>
      <c r="B65" s="81" t="s">
        <v>224</v>
      </c>
      <c r="C65" s="81"/>
      <c r="D65" s="81" t="s">
        <v>224</v>
      </c>
      <c r="E65" s="81" t="s">
        <v>224</v>
      </c>
      <c r="F65" s="81"/>
      <c r="G65" s="81"/>
      <c r="H65" s="81"/>
    </row>
    <row r="67" s="3" customFormat="1" ht="19.5">
      <c r="A67" s="1" t="s">
        <v>225</v>
      </c>
    </row>
    <row r="69" spans="2:8" ht="9">
      <c r="B69" s="80" t="s">
        <v>196</v>
      </c>
      <c r="C69" s="80" t="s">
        <v>198</v>
      </c>
      <c r="D69" s="80" t="s">
        <v>196</v>
      </c>
      <c r="E69" s="80" t="s">
        <v>221</v>
      </c>
      <c r="F69" s="80" t="s">
        <v>221</v>
      </c>
      <c r="G69" s="80" t="s">
        <v>221</v>
      </c>
      <c r="H69" s="80" t="s">
        <v>196</v>
      </c>
    </row>
    <row r="70" spans="1:3" ht="9">
      <c r="A70" s="16" t="s">
        <v>16</v>
      </c>
      <c r="C70" s="65"/>
    </row>
    <row r="71" spans="1:8" ht="9">
      <c r="A71" t="s">
        <v>48</v>
      </c>
      <c r="B71" s="81">
        <v>0.3388888888888889</v>
      </c>
      <c r="C71" s="81">
        <v>0.3388888888888889</v>
      </c>
      <c r="D71" s="81">
        <v>0.5506944444444445</v>
      </c>
      <c r="E71" s="81">
        <v>0.5923611111111111</v>
      </c>
      <c r="F71" s="81">
        <v>0.5923611111111111</v>
      </c>
      <c r="G71" s="81">
        <v>0.6840277777777778</v>
      </c>
      <c r="H71" s="81">
        <v>0.7694444444444445</v>
      </c>
    </row>
    <row r="72" spans="1:8" ht="9">
      <c r="A72" t="s">
        <v>161</v>
      </c>
      <c r="B72" s="81">
        <v>0.3486111111111111</v>
      </c>
      <c r="C72" s="81">
        <v>0.3486111111111111</v>
      </c>
      <c r="D72" s="81">
        <v>0.5604166666666667</v>
      </c>
      <c r="E72" s="81">
        <v>0.6020833333333333</v>
      </c>
      <c r="F72" s="81">
        <v>0.6020833333333333</v>
      </c>
      <c r="G72" s="81">
        <v>0.70625</v>
      </c>
      <c r="H72" s="81">
        <v>0.7798611111111111</v>
      </c>
    </row>
    <row r="73" spans="1:8" ht="9">
      <c r="A73" s="16" t="s">
        <v>122</v>
      </c>
      <c r="B73" s="81" t="s">
        <v>222</v>
      </c>
      <c r="C73" s="81"/>
      <c r="D73" s="81" t="s">
        <v>222</v>
      </c>
      <c r="E73" s="81" t="s">
        <v>222</v>
      </c>
      <c r="F73" s="81" t="s">
        <v>223</v>
      </c>
      <c r="G73" s="81" t="s">
        <v>222</v>
      </c>
      <c r="H73" s="81" t="s">
        <v>222</v>
      </c>
    </row>
    <row r="74" spans="1:8" ht="9">
      <c r="A74" s="16"/>
      <c r="B74" s="81"/>
      <c r="C74" s="81"/>
      <c r="D74" s="81"/>
      <c r="E74" s="81"/>
      <c r="F74" s="81"/>
      <c r="G74" s="81"/>
      <c r="H74" s="81"/>
    </row>
    <row r="75" spans="1:12" ht="9">
      <c r="A75" s="16" t="s">
        <v>60</v>
      </c>
      <c r="B75" s="40">
        <f>35.2*277</f>
        <v>9750.400000000001</v>
      </c>
      <c r="C75" s="81"/>
      <c r="D75" s="40">
        <f>35.2*277</f>
        <v>9750.400000000001</v>
      </c>
      <c r="E75" s="40">
        <f>35.2*207</f>
        <v>7286.400000000001</v>
      </c>
      <c r="F75" s="81"/>
      <c r="G75" s="81"/>
      <c r="H75" s="40">
        <f>35.2*277</f>
        <v>9750.400000000001</v>
      </c>
      <c r="L75" s="40">
        <f>SUM(B75:K75)</f>
        <v>36537.600000000006</v>
      </c>
    </row>
    <row r="76" spans="1:12" ht="9">
      <c r="A76" s="16" t="s">
        <v>61</v>
      </c>
      <c r="B76" s="40">
        <f>-20.5*277</f>
        <v>-5678.5</v>
      </c>
      <c r="C76" s="81"/>
      <c r="D76" s="40">
        <f>-20.5*277</f>
        <v>-5678.5</v>
      </c>
      <c r="E76" s="40">
        <f>-20.5*207</f>
        <v>-4243.5</v>
      </c>
      <c r="F76" s="81"/>
      <c r="G76" s="81"/>
      <c r="H76" s="40">
        <f>-20.5*277</f>
        <v>-5678.5</v>
      </c>
      <c r="L76" s="40">
        <f>SUM(B76:K76)</f>
        <v>-21279</v>
      </c>
    </row>
    <row r="77" spans="1:8" ht="9">
      <c r="A77" s="16" t="s">
        <v>62</v>
      </c>
      <c r="B77" s="81" t="s">
        <v>224</v>
      </c>
      <c r="C77" s="81"/>
      <c r="D77" s="81" t="s">
        <v>224</v>
      </c>
      <c r="E77" s="81" t="s">
        <v>224</v>
      </c>
      <c r="F77" s="81"/>
      <c r="G77" s="81"/>
      <c r="H77" s="81" t="s">
        <v>224</v>
      </c>
    </row>
    <row r="79" s="3" customFormat="1" ht="19.5">
      <c r="A79" s="1" t="s">
        <v>226</v>
      </c>
    </row>
    <row r="81" spans="2:4" ht="9">
      <c r="B81" s="80" t="s">
        <v>198</v>
      </c>
      <c r="C81" s="80" t="s">
        <v>198</v>
      </c>
      <c r="D81" s="80" t="s">
        <v>198</v>
      </c>
    </row>
    <row r="82" spans="1:2" ht="9">
      <c r="A82" s="16" t="s">
        <v>16</v>
      </c>
      <c r="B82" t="s">
        <v>222</v>
      </c>
    </row>
    <row r="83" spans="1:4" ht="9">
      <c r="A83" t="s">
        <v>152</v>
      </c>
      <c r="B83" s="81">
        <v>0.32083333333333336</v>
      </c>
      <c r="C83" s="81">
        <v>0.5520833333333334</v>
      </c>
      <c r="D83" s="81">
        <v>0.6909722222222222</v>
      </c>
    </row>
    <row r="84" spans="1:4" ht="9">
      <c r="A84" t="s">
        <v>227</v>
      </c>
      <c r="B84" s="81">
        <v>0.3368055555555556</v>
      </c>
      <c r="C84" s="81">
        <v>0.5625</v>
      </c>
      <c r="D84" s="81">
        <v>0.7013888888888888</v>
      </c>
    </row>
    <row r="85" spans="2:4" ht="9">
      <c r="B85" s="81"/>
      <c r="C85" s="81"/>
      <c r="D85" s="81"/>
    </row>
    <row r="86" spans="1:12" ht="9">
      <c r="A86" s="16" t="s">
        <v>60</v>
      </c>
      <c r="B86" s="40">
        <f>37.8*207</f>
        <v>7824.599999999999</v>
      </c>
      <c r="C86" s="40">
        <f>37.8*207</f>
        <v>7824.599999999999</v>
      </c>
      <c r="D86" s="40">
        <f>37.8*207</f>
        <v>7824.599999999999</v>
      </c>
      <c r="L86" s="40">
        <f>SUM(B86:K86)</f>
        <v>23473.8</v>
      </c>
    </row>
    <row r="87" spans="1:12" ht="9">
      <c r="A87" s="16" t="s">
        <v>61</v>
      </c>
      <c r="B87" s="40">
        <f>-16.7*207</f>
        <v>-3456.8999999999996</v>
      </c>
      <c r="C87" s="40">
        <f>-16.7*207</f>
        <v>-3456.8999999999996</v>
      </c>
      <c r="D87" s="40">
        <f>-16.7*207</f>
        <v>-3456.8999999999996</v>
      </c>
      <c r="L87" s="40">
        <f>SUM(B87:K87)</f>
        <v>-10370.699999999999</v>
      </c>
    </row>
    <row r="88" spans="1:4" ht="9">
      <c r="A88" s="16" t="s">
        <v>62</v>
      </c>
      <c r="B88" s="81"/>
      <c r="C88" s="81"/>
      <c r="D88" s="81"/>
    </row>
    <row r="90" s="3" customFormat="1" ht="19.5">
      <c r="A90" s="1" t="s">
        <v>228</v>
      </c>
    </row>
    <row r="92" spans="2:4" ht="9">
      <c r="B92" s="85" t="s">
        <v>198</v>
      </c>
      <c r="C92" s="80" t="s">
        <v>198</v>
      </c>
      <c r="D92" s="80" t="s">
        <v>198</v>
      </c>
    </row>
    <row r="93" ht="9">
      <c r="A93" s="16"/>
    </row>
    <row r="94" spans="1:4" ht="9">
      <c r="A94" t="s">
        <v>227</v>
      </c>
      <c r="B94" s="81">
        <v>0.35138888888888886</v>
      </c>
      <c r="C94" s="81">
        <v>0.5659722222222222</v>
      </c>
      <c r="D94" s="81">
        <v>0.70625</v>
      </c>
    </row>
    <row r="95" spans="1:4" ht="9">
      <c r="A95" t="s">
        <v>152</v>
      </c>
      <c r="B95" s="81">
        <v>0.3611111111111111</v>
      </c>
      <c r="C95" s="81">
        <v>0.5819444444444445</v>
      </c>
      <c r="D95" s="81">
        <v>0.7194444444444444</v>
      </c>
    </row>
    <row r="96" spans="1:4" ht="9">
      <c r="A96" s="16" t="s">
        <v>122</v>
      </c>
      <c r="C96" t="s">
        <v>222</v>
      </c>
      <c r="D96" t="s">
        <v>222</v>
      </c>
    </row>
    <row r="97" ht="9">
      <c r="A97" s="16"/>
    </row>
    <row r="98" spans="1:12" ht="9">
      <c r="A98" s="16" t="s">
        <v>60</v>
      </c>
      <c r="B98" s="40">
        <f>37.8*207</f>
        <v>7824.599999999999</v>
      </c>
      <c r="C98" s="40">
        <f>37.8*207</f>
        <v>7824.599999999999</v>
      </c>
      <c r="D98" s="40">
        <f>37.8*207</f>
        <v>7824.599999999999</v>
      </c>
      <c r="L98" s="40">
        <f>SUM(B98:K98)</f>
        <v>23473.8</v>
      </c>
    </row>
    <row r="99" spans="1:12" ht="9">
      <c r="A99" s="16" t="s">
        <v>61</v>
      </c>
      <c r="B99" s="40">
        <f>-16.7*207</f>
        <v>-3456.8999999999996</v>
      </c>
      <c r="C99" s="40">
        <f>-16.7*207</f>
        <v>-3456.8999999999996</v>
      </c>
      <c r="D99" s="40">
        <f>-16.7*207</f>
        <v>-3456.8999999999996</v>
      </c>
      <c r="L99" s="40">
        <f>SUM(B99:K99)</f>
        <v>-10370.699999999999</v>
      </c>
    </row>
    <row r="100" spans="1:4" ht="9">
      <c r="A100" s="16" t="s">
        <v>62</v>
      </c>
      <c r="B100" s="81"/>
      <c r="C100" s="81"/>
      <c r="D100" s="81"/>
    </row>
    <row r="102" s="3" customFormat="1" ht="19.5">
      <c r="A102" s="1" t="s">
        <v>229</v>
      </c>
    </row>
    <row r="103" spans="2:11" ht="18.75">
      <c r="B103" t="s">
        <v>230</v>
      </c>
      <c r="C103" t="s">
        <v>230</v>
      </c>
      <c r="D103" t="s">
        <v>231</v>
      </c>
      <c r="E103" s="52" t="s">
        <v>232</v>
      </c>
      <c r="G103" t="s">
        <v>233</v>
      </c>
      <c r="I103" s="52" t="s">
        <v>234</v>
      </c>
      <c r="J103" s="20" t="s">
        <v>235</v>
      </c>
      <c r="K103" s="52" t="s">
        <v>236</v>
      </c>
    </row>
    <row r="104" spans="2:11" ht="9">
      <c r="B104" s="85" t="s">
        <v>196</v>
      </c>
      <c r="C104" s="85" t="s">
        <v>196</v>
      </c>
      <c r="D104" s="85" t="s">
        <v>196</v>
      </c>
      <c r="E104" s="85" t="s">
        <v>196</v>
      </c>
      <c r="F104" s="80" t="s">
        <v>200</v>
      </c>
      <c r="G104" s="85" t="s">
        <v>200</v>
      </c>
      <c r="H104" s="80" t="s">
        <v>200</v>
      </c>
      <c r="I104" s="85" t="s">
        <v>199</v>
      </c>
      <c r="J104" s="85" t="s">
        <v>199</v>
      </c>
      <c r="K104" s="85" t="s">
        <v>200</v>
      </c>
    </row>
    <row r="105" spans="1:11" ht="9">
      <c r="A105" s="16" t="s">
        <v>16</v>
      </c>
      <c r="B105" t="s">
        <v>237</v>
      </c>
      <c r="C105" t="s">
        <v>238</v>
      </c>
      <c r="D105" t="s">
        <v>216</v>
      </c>
      <c r="E105" t="s">
        <v>239</v>
      </c>
      <c r="F105" t="s">
        <v>239</v>
      </c>
      <c r="G105" t="s">
        <v>216</v>
      </c>
      <c r="H105" t="s">
        <v>238</v>
      </c>
      <c r="I105" t="s">
        <v>216</v>
      </c>
      <c r="J105" t="s">
        <v>216</v>
      </c>
      <c r="K105" t="s">
        <v>216</v>
      </c>
    </row>
    <row r="106" spans="1:3" ht="9">
      <c r="A106" t="s">
        <v>152</v>
      </c>
      <c r="B106" s="81"/>
      <c r="C106" s="81"/>
    </row>
    <row r="107" spans="1:11" ht="9">
      <c r="A107" t="s">
        <v>161</v>
      </c>
      <c r="B107" s="81">
        <v>0.20972222222222223</v>
      </c>
      <c r="C107" s="81">
        <v>0.20972222222222223</v>
      </c>
      <c r="D107" s="81">
        <v>0.3159722222222222</v>
      </c>
      <c r="E107" s="81">
        <v>0.36736111111111114</v>
      </c>
      <c r="F107" s="81">
        <v>0.43680555555555556</v>
      </c>
      <c r="G107" s="81">
        <v>0.5430555555555555</v>
      </c>
      <c r="H107" s="81">
        <v>0.5430555555555555</v>
      </c>
      <c r="I107" s="81">
        <v>0.5659722222222222</v>
      </c>
      <c r="J107" s="81">
        <v>0.7743055555555556</v>
      </c>
      <c r="K107" s="81">
        <v>0.8729166666666667</v>
      </c>
    </row>
    <row r="108" spans="1:11" ht="9">
      <c r="A108" t="s">
        <v>240</v>
      </c>
      <c r="B108" s="81">
        <v>0.2152777777777778</v>
      </c>
      <c r="C108" s="81">
        <v>0.2152777777777778</v>
      </c>
      <c r="D108" s="81">
        <v>0.3284722222222222</v>
      </c>
      <c r="E108" s="81">
        <v>0.3729166666666667</v>
      </c>
      <c r="F108" s="81">
        <v>0.4423611111111111</v>
      </c>
      <c r="G108" s="81"/>
      <c r="H108" s="81">
        <v>0.5486111111111112</v>
      </c>
      <c r="I108" s="81">
        <v>0.5729166666666666</v>
      </c>
      <c r="J108" s="81">
        <v>0.78125</v>
      </c>
      <c r="K108" s="81">
        <v>0.8784722222222222</v>
      </c>
    </row>
    <row r="109" spans="1:11" ht="9">
      <c r="A109" t="s">
        <v>53</v>
      </c>
      <c r="B109" s="81">
        <v>0.2222222222222222</v>
      </c>
      <c r="C109" s="81">
        <v>0.2222222222222222</v>
      </c>
      <c r="D109" s="81"/>
      <c r="E109" s="81">
        <v>0.3798611111111111</v>
      </c>
      <c r="F109" s="81">
        <v>0.44930555555555557</v>
      </c>
      <c r="G109" s="81"/>
      <c r="H109" s="81">
        <v>0.5555555555555556</v>
      </c>
      <c r="I109" s="81">
        <v>0.5729166666666666</v>
      </c>
      <c r="J109" s="81">
        <v>0.7881944444444444</v>
      </c>
      <c r="K109" s="81">
        <v>0.8854166666666666</v>
      </c>
    </row>
    <row r="110" spans="1:11" ht="9">
      <c r="A110" t="s">
        <v>241</v>
      </c>
      <c r="B110" s="81">
        <v>0.23958333333333334</v>
      </c>
      <c r="C110" s="81"/>
      <c r="D110" s="81"/>
      <c r="F110" s="81"/>
      <c r="G110" s="81">
        <v>0.5729166666666666</v>
      </c>
      <c r="H110" s="81"/>
      <c r="I110" s="81"/>
      <c r="J110" s="81"/>
      <c r="K110" s="81">
        <v>0.9097222222222222</v>
      </c>
    </row>
    <row r="111" spans="1:11" ht="9">
      <c r="A111" t="s">
        <v>242</v>
      </c>
      <c r="B111" s="81"/>
      <c r="C111" s="81"/>
      <c r="D111" s="81">
        <v>0.3423611111111111</v>
      </c>
      <c r="E111" s="81">
        <v>0.3972222222222222</v>
      </c>
      <c r="F111" s="81">
        <v>0.4652777777777778</v>
      </c>
      <c r="G111" s="81"/>
      <c r="H111" s="81"/>
      <c r="I111" s="81">
        <v>0.6006944444444444</v>
      </c>
      <c r="J111" s="81">
        <v>0.8125</v>
      </c>
      <c r="K111" s="81"/>
    </row>
    <row r="112" spans="1:11" ht="9">
      <c r="A112" t="s">
        <v>243</v>
      </c>
      <c r="B112" s="81"/>
      <c r="C112" s="81"/>
      <c r="D112" s="81"/>
      <c r="F112" s="81">
        <v>0.4666666666666667</v>
      </c>
      <c r="G112" s="81"/>
      <c r="H112" s="81"/>
      <c r="I112" s="81"/>
      <c r="J112" s="81"/>
      <c r="K112" s="81"/>
    </row>
    <row r="113" spans="1:11" ht="9">
      <c r="A113" t="s">
        <v>58</v>
      </c>
      <c r="B113" s="81"/>
      <c r="C113" s="81">
        <v>0.23958333333333334</v>
      </c>
      <c r="D113" s="81"/>
      <c r="G113" s="81"/>
      <c r="H113" s="81">
        <v>0.5729166666666666</v>
      </c>
      <c r="I113" s="81"/>
      <c r="J113" s="81"/>
      <c r="K113" s="81"/>
    </row>
    <row r="114" spans="2:11" ht="9">
      <c r="B114" s="81"/>
      <c r="C114" s="81"/>
      <c r="D114" s="81"/>
      <c r="G114" s="81"/>
      <c r="H114" s="81"/>
      <c r="I114" s="81"/>
      <c r="J114" s="81"/>
      <c r="K114" s="81"/>
    </row>
    <row r="115" spans="1:11" ht="9">
      <c r="A115" t="s">
        <v>244</v>
      </c>
      <c r="B115">
        <v>32</v>
      </c>
      <c r="C115">
        <v>32</v>
      </c>
      <c r="D115">
        <v>32</v>
      </c>
      <c r="E115">
        <v>32</v>
      </c>
      <c r="G115">
        <v>32</v>
      </c>
      <c r="H115" s="81"/>
      <c r="I115">
        <v>32</v>
      </c>
      <c r="J115">
        <v>32</v>
      </c>
      <c r="K115">
        <v>32</v>
      </c>
    </row>
    <row r="116" spans="1:11" ht="9">
      <c r="A116" t="s">
        <v>245</v>
      </c>
      <c r="B116">
        <v>277</v>
      </c>
      <c r="C116">
        <v>277</v>
      </c>
      <c r="D116">
        <v>277</v>
      </c>
      <c r="E116">
        <v>277</v>
      </c>
      <c r="G116">
        <v>231</v>
      </c>
      <c r="H116" s="81"/>
      <c r="I116">
        <v>302</v>
      </c>
      <c r="J116">
        <v>302</v>
      </c>
      <c r="K116">
        <v>231</v>
      </c>
    </row>
    <row r="117" spans="1:12" ht="9">
      <c r="A117" t="s">
        <v>246</v>
      </c>
      <c r="B117" s="40">
        <f>B115*B116</f>
        <v>8864</v>
      </c>
      <c r="C117" s="40">
        <f>C115*C116</f>
        <v>8864</v>
      </c>
      <c r="D117" s="40">
        <f>D115*D116</f>
        <v>8864</v>
      </c>
      <c r="E117" s="40">
        <f>E115*E116</f>
        <v>8864</v>
      </c>
      <c r="G117" s="40">
        <f>G115*G116</f>
        <v>7392</v>
      </c>
      <c r="H117" s="81"/>
      <c r="I117" s="40">
        <f>I115*I116</f>
        <v>9664</v>
      </c>
      <c r="J117" s="40">
        <f>J115*J116</f>
        <v>9664</v>
      </c>
      <c r="K117" s="40">
        <f>K115*K116</f>
        <v>7392</v>
      </c>
      <c r="L117" s="40">
        <f>SUM(B117:K117)</f>
        <v>69568</v>
      </c>
    </row>
    <row r="118" spans="2:10" ht="9">
      <c r="B118" s="81"/>
      <c r="C118" s="81"/>
      <c r="D118" s="81"/>
      <c r="F118" s="81"/>
      <c r="G118" s="81"/>
      <c r="H118" s="81"/>
      <c r="I118" s="81"/>
      <c r="J118" s="81"/>
    </row>
    <row r="119" s="3" customFormat="1" ht="19.5">
      <c r="A119" s="1" t="s">
        <v>247</v>
      </c>
    </row>
    <row r="120" spans="5:10" ht="45.75">
      <c r="E120" t="s">
        <v>248</v>
      </c>
      <c r="H120" s="52" t="s">
        <v>249</v>
      </c>
      <c r="I120" s="52" t="s">
        <v>250</v>
      </c>
      <c r="J120" s="52" t="s">
        <v>251</v>
      </c>
    </row>
    <row r="121" spans="2:12" ht="9">
      <c r="B121" s="80" t="s">
        <v>196</v>
      </c>
      <c r="C121" s="80" t="s">
        <v>199</v>
      </c>
      <c r="D121" s="80" t="s">
        <v>252</v>
      </c>
      <c r="E121" s="85" t="s">
        <v>200</v>
      </c>
      <c r="F121" s="80" t="s">
        <v>199</v>
      </c>
      <c r="G121" s="80" t="s">
        <v>200</v>
      </c>
      <c r="H121" s="85" t="s">
        <v>200</v>
      </c>
      <c r="I121" s="85" t="s">
        <v>199</v>
      </c>
      <c r="J121" s="85" t="s">
        <v>200</v>
      </c>
      <c r="K121" s="80" t="s">
        <v>200</v>
      </c>
      <c r="L121" s="86"/>
    </row>
    <row r="122" spans="1:11" ht="9">
      <c r="A122" t="s">
        <v>58</v>
      </c>
      <c r="B122" s="81"/>
      <c r="C122" s="81"/>
      <c r="D122" s="81"/>
      <c r="E122" s="81"/>
      <c r="F122" s="81"/>
      <c r="G122" s="81">
        <v>0.5993055555555555</v>
      </c>
      <c r="H122" s="81"/>
      <c r="I122" s="81"/>
      <c r="J122" s="81"/>
      <c r="K122" s="81">
        <v>0.9326388888888889</v>
      </c>
    </row>
    <row r="123" spans="1:11" ht="9">
      <c r="A123" t="s">
        <v>243</v>
      </c>
      <c r="B123" s="81"/>
      <c r="C123" s="81"/>
      <c r="D123" s="81">
        <v>0.40625</v>
      </c>
      <c r="E123" s="81"/>
      <c r="F123" s="81"/>
      <c r="G123" s="81"/>
      <c r="H123" s="81"/>
      <c r="I123" s="81"/>
      <c r="J123" s="81"/>
      <c r="K123" s="81"/>
    </row>
    <row r="124" spans="1:11" ht="9">
      <c r="A124" t="s">
        <v>242</v>
      </c>
      <c r="B124" s="81"/>
      <c r="C124" s="81">
        <v>0.2916666666666667</v>
      </c>
      <c r="D124" s="81">
        <v>0.4076388888888889</v>
      </c>
      <c r="E124" s="81">
        <v>0.4791666666666667</v>
      </c>
      <c r="F124" s="81">
        <v>0.5416666666666666</v>
      </c>
      <c r="G124" s="81"/>
      <c r="H124" s="81"/>
      <c r="I124" s="81">
        <v>0.7673611111111112</v>
      </c>
      <c r="J124" s="81"/>
      <c r="K124" s="81"/>
    </row>
    <row r="125" spans="1:11" ht="9">
      <c r="A125" t="s">
        <v>241</v>
      </c>
      <c r="B125" s="81">
        <v>0.2604166666666667</v>
      </c>
      <c r="C125" s="81"/>
      <c r="D125" s="81"/>
      <c r="E125" s="81"/>
      <c r="F125" s="81"/>
      <c r="G125" s="81"/>
      <c r="H125" s="81">
        <v>0.59375</v>
      </c>
      <c r="I125" s="81"/>
      <c r="J125" s="81">
        <v>0.9270833333333334</v>
      </c>
      <c r="K125" s="81"/>
    </row>
    <row r="126" spans="1:11" ht="9">
      <c r="A126" t="s">
        <v>53</v>
      </c>
      <c r="B126" s="81"/>
      <c r="C126" s="81">
        <v>0.3055555555555556</v>
      </c>
      <c r="D126" s="81">
        <v>0.4236111111111111</v>
      </c>
      <c r="E126" s="81">
        <v>0.4965277777777778</v>
      </c>
      <c r="F126" s="81">
        <v>0.5555555555555556</v>
      </c>
      <c r="G126" s="81">
        <v>0.6145833333333334</v>
      </c>
      <c r="H126" s="81">
        <v>0.6145833333333334</v>
      </c>
      <c r="I126" s="81">
        <v>0.7847222222222222</v>
      </c>
      <c r="J126" s="81">
        <v>0.9479166666666666</v>
      </c>
      <c r="K126" s="81">
        <v>0.9479166666666666</v>
      </c>
    </row>
    <row r="127" spans="1:11" ht="9">
      <c r="A127" t="s">
        <v>240</v>
      </c>
      <c r="B127" s="81"/>
      <c r="C127" s="81">
        <v>0.3125</v>
      </c>
      <c r="D127" s="81">
        <v>0.4305555555555556</v>
      </c>
      <c r="E127" s="81">
        <v>0.5034722222222222</v>
      </c>
      <c r="F127" s="81">
        <v>0.5625</v>
      </c>
      <c r="G127" s="81">
        <v>0.6215277777777778</v>
      </c>
      <c r="H127" s="81">
        <v>0.6215277777777778</v>
      </c>
      <c r="I127" s="81">
        <v>0.7916666666666666</v>
      </c>
      <c r="J127" s="81">
        <v>0.9548611111111112</v>
      </c>
      <c r="K127" s="81">
        <v>0.9548611111111112</v>
      </c>
    </row>
    <row r="128" spans="1:11" ht="9">
      <c r="A128" t="s">
        <v>161</v>
      </c>
      <c r="B128" s="81">
        <v>0.2847222222222222</v>
      </c>
      <c r="C128" s="81">
        <v>0.3159722222222222</v>
      </c>
      <c r="D128" s="81">
        <v>0.4361111111111111</v>
      </c>
      <c r="E128" s="81">
        <v>0.5090277777777777</v>
      </c>
      <c r="F128" s="81">
        <v>0.5659722222222222</v>
      </c>
      <c r="G128" s="81">
        <v>0.6270833333333333</v>
      </c>
      <c r="H128" s="81">
        <v>0.6270833333333333</v>
      </c>
      <c r="I128" s="81">
        <v>0.7951388888888888</v>
      </c>
      <c r="J128" s="81">
        <v>0.9604166666666667</v>
      </c>
      <c r="K128" s="81">
        <v>0.9604166666666667</v>
      </c>
    </row>
    <row r="129" ht="9">
      <c r="A129" t="s">
        <v>152</v>
      </c>
    </row>
    <row r="130" spans="1:11" ht="9">
      <c r="A130" s="16" t="s">
        <v>122</v>
      </c>
      <c r="B130" t="s">
        <v>253</v>
      </c>
      <c r="C130" t="s">
        <v>253</v>
      </c>
      <c r="D130" t="s">
        <v>254</v>
      </c>
      <c r="E130" t="s">
        <v>254</v>
      </c>
      <c r="F130" t="s">
        <v>253</v>
      </c>
      <c r="G130" t="s">
        <v>255</v>
      </c>
      <c r="H130" t="s">
        <v>253</v>
      </c>
      <c r="I130" t="s">
        <v>253</v>
      </c>
      <c r="J130" t="s">
        <v>253</v>
      </c>
      <c r="K130" t="s">
        <v>255</v>
      </c>
    </row>
    <row r="132" spans="1:10" ht="9">
      <c r="A132" t="s">
        <v>244</v>
      </c>
      <c r="E132">
        <v>32</v>
      </c>
      <c r="H132">
        <v>32</v>
      </c>
      <c r="I132">
        <v>32</v>
      </c>
      <c r="J132">
        <v>32</v>
      </c>
    </row>
    <row r="133" spans="1:10" ht="9">
      <c r="A133" t="s">
        <v>245</v>
      </c>
      <c r="E133">
        <v>231</v>
      </c>
      <c r="H133">
        <v>231</v>
      </c>
      <c r="I133">
        <v>302</v>
      </c>
      <c r="J133">
        <v>231</v>
      </c>
    </row>
    <row r="134" spans="1:12" ht="9">
      <c r="A134" t="s">
        <v>246</v>
      </c>
      <c r="E134" s="40">
        <f>E132*E133</f>
        <v>7392</v>
      </c>
      <c r="H134" s="40">
        <f>H132*H133</f>
        <v>7392</v>
      </c>
      <c r="I134" s="40">
        <f>I132*I133</f>
        <v>9664</v>
      </c>
      <c r="J134" s="40">
        <f>J132*J133</f>
        <v>7392</v>
      </c>
      <c r="L134" s="40">
        <f>SUM(E134:J134)</f>
        <v>31840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 Infunti</cp:lastModifiedBy>
  <cp:lastPrinted>2011-02-08T15:57:38Z</cp:lastPrinted>
  <dcterms:modified xsi:type="dcterms:W3CDTF">2011-03-11T12:07:17Z</dcterms:modified>
  <cp:category/>
  <cp:version/>
  <cp:contentType/>
  <cp:contentStatus/>
  <cp:revision>538</cp:revision>
</cp:coreProperties>
</file>